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816" windowWidth="13020" windowHeight="9936" tabRatio="723" activeTab="7"/>
  </bookViews>
  <sheets>
    <sheet name="tab" sheetId="1" r:id="rId1"/>
    <sheet name="ОС1" sheetId="2" r:id="rId2"/>
    <sheet name="ОС2" sheetId="3" r:id="rId3"/>
    <sheet name="ОС3" sheetId="4" r:id="rId4"/>
    <sheet name="ОС4" sheetId="5" r:id="rId5"/>
    <sheet name="ОС5" sheetId="6" r:id="rId6"/>
    <sheet name="ОС6" sheetId="7" r:id="rId7"/>
    <sheet name="ОС7" sheetId="8" r:id="rId8"/>
    <sheet name="ПР2" sheetId="9" r:id="rId9"/>
    <sheet name="ПР3" sheetId="10" r:id="rId10"/>
    <sheet name="ПР4" sheetId="11" r:id="rId11"/>
    <sheet name="ПР5" sheetId="12" r:id="rId12"/>
    <sheet name="ПР6" sheetId="13" r:id="rId13"/>
    <sheet name="ПР8" sheetId="14" r:id="rId14"/>
    <sheet name="ПР9" sheetId="15" r:id="rId15"/>
    <sheet name="РБ1" sheetId="16" r:id="rId16"/>
    <sheet name="РБ2, РБ3, РБ4, ИС6" sheetId="17" r:id="rId17"/>
    <sheet name="РБ5" sheetId="18" r:id="rId18"/>
    <sheet name="РБ6, РБ7" sheetId="19" r:id="rId19"/>
    <sheet name="РБ8" sheetId="20" r:id="rId20"/>
    <sheet name="РБ9" sheetId="21" r:id="rId21"/>
    <sheet name="ИС1" sheetId="22" r:id="rId22"/>
    <sheet name="ИС2" sheetId="23" r:id="rId23"/>
    <sheet name="ИС3" sheetId="24" r:id="rId24"/>
    <sheet name="ИС4" sheetId="25" r:id="rId25"/>
    <sheet name="ИС5" sheetId="26" r:id="rId26"/>
  </sheets>
  <definedNames>
    <definedName name="ИС1">'ИС1'!$E$12</definedName>
    <definedName name="ИС2">'ИС2'!$E$8</definedName>
    <definedName name="ИС3">'ИС3'!$E$6</definedName>
    <definedName name="ИС4">'ИС4'!$E$7</definedName>
    <definedName name="ИС5">'ИС5'!$E$7</definedName>
    <definedName name="ИС6">'РБ2, РБ3, РБ4, ИС6'!$E$70</definedName>
    <definedName name="_xlnm.Print_Area" localSheetId="0">'tab'!$A$1:$T$47</definedName>
    <definedName name="_xlnm.Print_Area" localSheetId="11">'ПР5'!$A$1:$H$87</definedName>
    <definedName name="ОС1">'ОС1'!$F$10</definedName>
    <definedName name="ОС2">'ОС2'!$F$9</definedName>
    <definedName name="ОС3">'ОС3'!$F$8</definedName>
    <definedName name="ОС4">'ОС4'!$F$8</definedName>
    <definedName name="ОС5">'ОС5'!$F$9</definedName>
    <definedName name="ОС6">'ОС6'!$F$9</definedName>
    <definedName name="ОС7">'ОС7'!$F$9</definedName>
    <definedName name="ПР2">'ПР2'!$F$9</definedName>
    <definedName name="ПР3">'ПР3'!$E$10</definedName>
    <definedName name="ПР4">'ПР4'!$E$9</definedName>
    <definedName name="ПР5">'ПР5'!$G$39</definedName>
    <definedName name="ПР6">'ПР6'!$I$67</definedName>
    <definedName name="ПР8">'ПР8'!$E$8</definedName>
    <definedName name="ПР9">'ПР9'!$E$8</definedName>
    <definedName name="РБ1">'РБ1'!$G$17</definedName>
    <definedName name="РБ2">'РБ2, РБ3, РБ4, ИС6'!$E$67</definedName>
    <definedName name="РБ3">'РБ2, РБ3, РБ4, ИС6'!$E$68</definedName>
    <definedName name="РБ4">'РБ2, РБ3, РБ4, ИС6'!$E$69</definedName>
    <definedName name="РБ5">'РБ5'!$E$9</definedName>
    <definedName name="РБ6">'РБ6, РБ7'!$E$34</definedName>
    <definedName name="РБ7">'РБ6, РБ7'!$E$35</definedName>
    <definedName name="РБ8">'РБ8'!$F$9</definedName>
    <definedName name="РБ9">'РБ9'!$F$7</definedName>
  </definedNames>
  <calcPr fullCalcOnLoad="1"/>
</workbook>
</file>

<file path=xl/sharedStrings.xml><?xml version="1.0" encoding="utf-8"?>
<sst xmlns="http://schemas.openxmlformats.org/spreadsheetml/2006/main" count="1712" uniqueCount="838">
  <si>
    <t>Приказ Управления культуры, молодежи и спорта Администрации от 30.12.2011 №73-п (Соглашение от 10.01.2012 №2)</t>
  </si>
  <si>
    <t>Приказ Управления культуры, молодежи и спорта Администрации от 30.12.2011 №73-п (Соглашение от 10.01.2012 №3)</t>
  </si>
  <si>
    <t>Приказ Управления культуры, молодежи и спорта Администрации от 30.12.2011 №73-п (Соглашение от 10.01.2012 №6)</t>
  </si>
  <si>
    <t>Приказ Управления образования Администрации г. Переславля-Залесского от 30.12.2011 № 484/01-06 (Соглашение от 30.12.2011 2мз/12)</t>
  </si>
  <si>
    <t>Приказ Управления образования Администрации г. Переславля-Залесского от 30.12.2011 № 484/01-06 (Соглашение от 30.12.2011 3мз/12)</t>
  </si>
  <si>
    <t>Приказ Управления образования Администрации г. Переславля-Залесского от 30.12.2011 № 484/01-06 (Соглашение от 30.12.2011 4мз/12)</t>
  </si>
  <si>
    <t>Приказ Управления образования Администрации г. Переславля-Залесского от 30.12.2011 № 484/01-06 (Соглашение от 30.12.2011 5мз/12)</t>
  </si>
  <si>
    <t>Приказ Управления образования Администрации г. Переславля-Залесского от 30.12.2011 № 484/01-06 (Соглашение от 30.12.2011 6мз/12)</t>
  </si>
  <si>
    <t>Приказ Управления образования Администрации г. Переславля-Залесского от 30.12.2011 № 484/01-06 (Соглашение от 30.12.2011 7мз/12)</t>
  </si>
  <si>
    <t>Приказ Управления образования Администрации г. Переславля-Залесского от 30.12.2011 № 484/01-06 (Соглашение от 30.12.2011 9мз/12)</t>
  </si>
  <si>
    <t>Приказ Управления образования Администрации г. Переславля-Залесского от 30.12.2011 № 484/01-06 (Соглашение от 30.12.2011 10мз/12)</t>
  </si>
  <si>
    <t>Приказ Управления образования Администрации г. Переславля-Залесского от 30.12.2011 № 484/01-06 (Соглашение от 30.12.2011 11мз/12)</t>
  </si>
  <si>
    <t>Приказ Управления образования Администрации г. Переславля-Залесского от 30.12.2011 № 484/01-06 (Соглашение от 30.12.2011 12мз/12)</t>
  </si>
  <si>
    <t>Приказ Управления образования Администрации г. Переславля-Залесского от 30.12.2011 № 484/01-06 (Соглашение от 30.12.2011 13мз/12)</t>
  </si>
  <si>
    <t>Приказ Управления образования Администрации г. Переславля-Залесского от 30.12.2011 № 484/01-06 (Соглашение от 30.12.2011 14мз/12)</t>
  </si>
  <si>
    <t>Приказ Управления образования Администрации г. Переславля-Залесского от 30.12.2011 № 484/01-06 (Соглашение от 30.12.2011 №15мз/12)</t>
  </si>
  <si>
    <t>Приказ Управления образования Администрации г. Переславля-Залесского от 30.12.2011 № 484/01-06 (Соглашение от 30.12.2011 16мз/12)</t>
  </si>
  <si>
    <t>Приказ Управления образования Администрации г. Переславля-Залесского от 30.12.2011 № 484/01-06 (Соглашение от 30.12.2011 17мз/12)</t>
  </si>
  <si>
    <t>Приказ Управления образования Администрации г. Переславля-Залесского от 30.12.2011 № 484/01-06 (Соглашение от 30.12.2011 18мз/12)</t>
  </si>
  <si>
    <t>Приказ Управления образования Администрации г. Переславля-Залесского от 30.12.2011 № 484/01-06 (Соглашение от 30.12.2011 19мз/12)</t>
  </si>
  <si>
    <t>Приказ Управления образования Администрации г. Переславля-Залесского от 30.12.2011 № 484/01-06 (Соглашение от 30.12.2011 20мз/12)</t>
  </si>
  <si>
    <t>Приказ Управления образования Администрации г. Переславля-Залесского от 30.12.2011 № 484/01-06 (Соглашение от 30.12.2011 21мз/12)</t>
  </si>
  <si>
    <t>Приказ Управления образования Администрации г. Переславля-Залесского от 30.12.2011 № 484/01-06 (Соглашение от 30.12.2011 8мз/12)</t>
  </si>
  <si>
    <t>Приказ Управления образования Администрации г. Переславля-Залесского от 30.12.2011 № 484/01-06 (Соглашение от 30.12.2011 22мз/12)</t>
  </si>
  <si>
    <t>Приказ Управления образования Администрации г. Переславля-Залесского от 30.12.2011 № 484/01-06 (Соглашение от 30.12.2011 23мз/12)</t>
  </si>
  <si>
    <t>Приказ Управления образования Администрации г. Переславля-Залесского от 30.12.2011 № 484/01-06 (Соглашение от 30.12.2011 24мз/12)</t>
  </si>
  <si>
    <t>Приказ Управления образования Администрации г. Переславля-Залесского от 30.12.2011 № 484/01-06 (Соглашение от 30.12.2011 25мз/12)</t>
  </si>
  <si>
    <t>Приказ Управления образования Администрации г. Переславля-Залесского от 30.12.2011 № 484/01-06 (Соглашение от 30.12.2011 26мз/12)</t>
  </si>
  <si>
    <t>Приказ Управления образования Администрации г. Переславля-Залесского от 30.12.2011 № 484/01-06 (Соглашение от 30.12.2011 27мз/12)</t>
  </si>
  <si>
    <t>Приказ Управления образования Администрации г. Переславля-Залесского от 30.12.2011 № 484/01-06 (Соглашение от 30.12.2011 28мз/12)</t>
  </si>
  <si>
    <t>Приказ Управления образования Администрации г. Переславля-Залесского от 30.12.2011 № 484/01-06 (Соглашение от 30.12.2011 29мз/12)</t>
  </si>
  <si>
    <t>Приказ Управления образования Администрации г. Переславля-Залесского от 30.12.2011 № 484/01-06 (Соглашение от 30.12.2011 30мз/12)</t>
  </si>
  <si>
    <t>Приказ Управления образования Администрации г. Переславля-Залесского от 30.12.2011 № 484/01-06 (Соглашение от 30.12.2011 31мз/12)</t>
  </si>
  <si>
    <t>Приказ Управления образования Администрации г. Переславля-Залесского от 30.12.2011 № 484/01-06 (Соглашение от 30.12.2011 32мз/12)</t>
  </si>
  <si>
    <t>Приказ Управления образования Администрации г. Переславля-Залесского от 30.12.2011 № 484/01-06 (Соглашение от 30.12.2011 33мз/12)</t>
  </si>
  <si>
    <t>Постановление Администрации г.Переславля-Залесского от 15.06.2011г. №892 "Об утверждении Положения о стандартах качества муниципальных услуг, оказываемых физическими и юридическим лицам на территории г.Переславля-Залесского"</t>
  </si>
  <si>
    <t xml:space="preserve">Постановление Администрации г.Переславля-Залесского от 07.12.2011 №1883 «Об утверждении методических рекомендаций
по расчёту норматива бюджетного финансирования 
предоставления услуг по дошкольному образованию детей» 
</t>
  </si>
  <si>
    <t xml:space="preserve">Реализация дополнительных образовательных </t>
  </si>
  <si>
    <t>Постановление Администрации г.Переславля-Залесского от 07.12.2011 №1882 "О нормативе бюджетного финансирования предоставления услуг по дополнительному образованию детей"</t>
  </si>
  <si>
    <t>Содействие профессиональному самоопределению и трудовой занятости молодежи</t>
  </si>
  <si>
    <t>Оказание социально-психологической помощи молодежи, молодым семьям, опекунам (попечителям) несовершеннолетних лиц</t>
  </si>
  <si>
    <t>Внесение записей о деятельности волонтеров в личную книжку, предоставление информации о направлениях добровольческой (волонтерской) деятельности</t>
  </si>
  <si>
    <t>Показ спектаклей, концертов и концертных программ, кинопрограмм и иных зрелищных культурно-просветительских программ</t>
  </si>
  <si>
    <t>Библиотечное, библиографическое и информационное обслуживание пользователей библиотеки</t>
  </si>
  <si>
    <t>Предоставление дополнительного образования по программам художественно-эстетической напрвленности</t>
  </si>
  <si>
    <t>Прелоставление дополнительного образования по программам музыкально-эстетической направленности</t>
  </si>
  <si>
    <t>Выдача разрешений на установку рекламных конструкций</t>
  </si>
  <si>
    <t>Выдача разрешений (регистрации) на производство инженерных изысканий на территории г.Переславля-Залесского</t>
  </si>
  <si>
    <t>Предоставлении выписок из правил землепользования и застройки</t>
  </si>
  <si>
    <t>Заключение договоров социального и специализированного найма жилых помещений</t>
  </si>
  <si>
    <t>Выдача ордера на производство земляных работ</t>
  </si>
  <si>
    <t>Сбот и комплектация документов к расчетам за негативное воздействие на окружающую среду, заполненных по форме согласно действующему законодательству, от платильщиков г.Переславля-Залесского  и предоставление их в Управление Росприродонадзор по Ярославской области</t>
  </si>
  <si>
    <t>Оказание транспортных услуг гражданам города, имеющих инвалидность по заболеванию почек (гемодиализ) из средств бюджета г.Переславля-Залесского</t>
  </si>
  <si>
    <t>Организация отдыха детей в каникулярное время на базе оздоровительно-образовательных центров</t>
  </si>
  <si>
    <t xml:space="preserve"> http://adm.pereslavl.ru/Finansi/Ispolnitelnii_budwet/itog_igb_mesyc/index301.html </t>
  </si>
  <si>
    <t>http://adm.pereslavl.ru/City_duma/Normativnie_dokumenti/index18.html</t>
  </si>
  <si>
    <t>http://adm.pereslavl.ru/Finansi/Reformirovanie/hod_vipolneniy/index291-1088.html</t>
  </si>
  <si>
    <t>http://adm.pereslavl.ru/Finansi/Monitoring/index346.html</t>
  </si>
  <si>
    <t>http://adm.pereslavl.ru/Finansi/Svod_reestr/index271.html</t>
  </si>
  <si>
    <t>Решение Переславль-Залесской городской Думы от31.03.05 №18 "Об утверждении Положения о публичных слушаньях на территории города Переславля-Залесского"</t>
  </si>
  <si>
    <t xml:space="preserve"> http://adm.pereslavl.ru/Administraciy/Normativnie_dokumenti/index13-p440.html </t>
  </si>
  <si>
    <t>http://adm.pereslavl.ru/Finansi/Reformirovanie/hod_vipolneniy/index291-1648.html</t>
  </si>
  <si>
    <t>ГЦП "Развитие сферы въездного и внутреннего туризма в городе Переславле-Залесском" на 2009-2012 годы"</t>
  </si>
  <si>
    <t>http://adm.pereslavl.ru/Administraciy/Normativnie_dokumenti/index13-p20.html</t>
  </si>
  <si>
    <t>http://adm.pereslavl.ru/Administraciy/Normativnie_dokumenti/index13.html</t>
  </si>
  <si>
    <t>http://adm.pereslavl.ru/Administraciy/Normativnie_dokumenti/index13-p140.html</t>
  </si>
  <si>
    <t>ГЦП "Комплексная программа модернизации и реформирования жилищно-коммунального хозяйства города Переславля-Залесского" на 2011-2014 годы</t>
  </si>
  <si>
    <t>Программа "Жилище" на 2011-2015 годы</t>
  </si>
  <si>
    <t>http://adm.pereslavl.ru/Administraciy/Normativnie_dokumenti/index13-p120.html; http://adm.pereslavl.ru/Administraciy/Normativnie_dokumenti/index13-p600.html</t>
  </si>
  <si>
    <t>ГЦП "Профилактика безнадзорности, правонарушений и защита прав несовершеннолетних на территории города Переславля-Залесского на 2009-2012 годы"</t>
  </si>
  <si>
    <t>http://adm.pereslavl.ru/Administraciy/Normativnie_dokumenti/index13-p480.html</t>
  </si>
  <si>
    <t>ГЦП "Энергосбережение на территории города Переславля-Залесского на 2011-2013 годы"</t>
  </si>
  <si>
    <t>http://adm.pereslavl.ru/Administraciy/Normativnie_dokumenti/index13-p820.html</t>
  </si>
  <si>
    <t>ГЦП "Патриотическое воспитание граждан РФ, проживающих на территории г.Переславля-Залесского" на 2011-2013 годы</t>
  </si>
  <si>
    <t>http://adm.pereslavl.ru/Administraciy/Normativnie_dokumenti/index13-p380.html</t>
  </si>
  <si>
    <t>ГЦП "Развитие субъектов малого и среднего предпринимательства города Переславля-Залесского на 2010-2012 годы"</t>
  </si>
  <si>
    <t>http://adm.pereslavl.ru/Administraciy/Normativnie_dokumenti/index13-p60.html</t>
  </si>
  <si>
    <t>http://adm.pereslavl.ru/Administraciy/Normativnie_dokumenti/index13-p220.html</t>
  </si>
  <si>
    <t>ГЦП "Повышение безопасности дорожного движения в городе Переславле-Залесском" на 2010-2012 годы</t>
  </si>
  <si>
    <t>http://adm.pereslavl.ru/Administraciy/Normativnie_dokumenti/index13-p40.html</t>
  </si>
  <si>
    <t>http://adm.pereslavl.ru/Administraciy/Normativnie_dokumenti/index13-p80.html</t>
  </si>
  <si>
    <t>http://adm.pereslavl.ru/Administraciy/Normativnie_dokumenti/index13-p300.html</t>
  </si>
  <si>
    <t>http://adm.pereslavl.ru/Administraciy/Normativnie_dokumenti/index13-p400.html</t>
  </si>
  <si>
    <t>http://adm.pereslavl.ru/Administraciy/Normativnie_dokumenti/index13-p320.html</t>
  </si>
  <si>
    <t xml:space="preserve"> ВЦП "Обеспечение функционирования и развития муниципальной системы образования города Переславля-Залесского" на 2011-2013 годы</t>
  </si>
  <si>
    <t>ВЦП "Совершенствование единой дежурно-диспетчерской службы города Переславля-Залесского на 2012-2014гг."</t>
  </si>
  <si>
    <t>dm.pereslavl.ru/Administraciy/Normativnie_dokumenti/index13-p200.html</t>
  </si>
  <si>
    <t xml:space="preserve"> http://adm.pereslavl.ru/Publichnie_sluwaniy/index67-1598.html ,</t>
  </si>
  <si>
    <t xml:space="preserve"> http://adm.pereslavl.ru/Publichnie_sluwaniy/index67-830.html , http://adm.pereslavl.ru/Publichnie_sluwaniy/index67-853.html</t>
  </si>
  <si>
    <t>X</t>
  </si>
  <si>
    <t>Пояснения к заполнению</t>
  </si>
  <si>
    <t>Отчетный год</t>
  </si>
  <si>
    <t>Х</t>
  </si>
  <si>
    <t>Код</t>
  </si>
  <si>
    <t xml:space="preserve">Индикатор </t>
  </si>
  <si>
    <t>Баллы и соответствующие им значения индикаторов</t>
  </si>
  <si>
    <t>Факт</t>
  </si>
  <si>
    <t>значение</t>
  </si>
  <si>
    <t>баллы</t>
  </si>
  <si>
    <t>ОС</t>
  </si>
  <si>
    <t>всего по группе:</t>
  </si>
  <si>
    <t>ОС1</t>
  </si>
  <si>
    <t>10% и более</t>
  </si>
  <si>
    <t>-</t>
  </si>
  <si>
    <t>ОС2</t>
  </si>
  <si>
    <t>50% и более</t>
  </si>
  <si>
    <t>менее</t>
  </si>
  <si>
    <t>ОС3</t>
  </si>
  <si>
    <t>1% и более</t>
  </si>
  <si>
    <t>ОС4</t>
  </si>
  <si>
    <t>менее 5%</t>
  </si>
  <si>
    <t>ОС5</t>
  </si>
  <si>
    <t>ОС6</t>
  </si>
  <si>
    <t>нет</t>
  </si>
  <si>
    <t>да</t>
  </si>
  <si>
    <t>ОС7</t>
  </si>
  <si>
    <t>11,5% и более</t>
  </si>
  <si>
    <t>ПР</t>
  </si>
  <si>
    <t>ПР1</t>
  </si>
  <si>
    <t>ПР2</t>
  </si>
  <si>
    <t>ПР3</t>
  </si>
  <si>
    <t>ПР4</t>
  </si>
  <si>
    <t>РБ</t>
  </si>
  <si>
    <t>Группа индикаторов «Реструктуризация бюджетного сектора»</t>
  </si>
  <si>
    <t>РБ1</t>
  </si>
  <si>
    <t>РБ2</t>
  </si>
  <si>
    <t>РБ3</t>
  </si>
  <si>
    <t>РБ4</t>
  </si>
  <si>
    <t>15% и более</t>
  </si>
  <si>
    <t>менее 20%</t>
  </si>
  <si>
    <t>ИС</t>
  </si>
  <si>
    <t>ИС1</t>
  </si>
  <si>
    <t>ИС2</t>
  </si>
  <si>
    <t>ИС3</t>
  </si>
  <si>
    <t>ИС4</t>
  </si>
  <si>
    <t>ИС5</t>
  </si>
  <si>
    <t>80% и более</t>
  </si>
  <si>
    <t xml:space="preserve">Доля муниципальных услуг, в отношении которых нормативно установлены требования к качеству их оказания </t>
  </si>
  <si>
    <t xml:space="preserve">Примечание: </t>
  </si>
  <si>
    <r>
      <t xml:space="preserve">если фактические значение индикатора совпадает с </t>
    </r>
    <r>
      <rPr>
        <b/>
        <sz val="8"/>
        <color indexed="8"/>
        <rFont val="Tahoma"/>
        <family val="2"/>
      </rPr>
      <t>верхней</t>
    </r>
    <r>
      <rPr>
        <sz val="8"/>
        <color indexed="8"/>
        <rFont val="Tahoma"/>
        <family val="2"/>
      </rPr>
      <t xml:space="preserve"> границей диапазона, то считается, что оно выходит за границы диапазона;</t>
    </r>
  </si>
  <si>
    <r>
      <t xml:space="preserve">если фактические значение индикатора совпадает с </t>
    </r>
    <r>
      <rPr>
        <b/>
        <sz val="8"/>
        <color indexed="8"/>
        <rFont val="Tahoma"/>
        <family val="2"/>
      </rPr>
      <t>нижней</t>
    </r>
    <r>
      <rPr>
        <sz val="8"/>
        <color indexed="8"/>
        <rFont val="Tahoma"/>
        <family val="2"/>
      </rPr>
      <t xml:space="preserve"> границей диапазона, считается, что оно входит в границы данного диапазона.</t>
    </r>
  </si>
  <si>
    <t>Пояснительная таблица ОС1</t>
  </si>
  <si>
    <t>№</t>
  </si>
  <si>
    <t>Показатель</t>
  </si>
  <si>
    <t>Ед. измерения</t>
  </si>
  <si>
    <t>Значение</t>
  </si>
  <si>
    <t>тыс. руб.</t>
  </si>
  <si>
    <t>1.</t>
  </si>
  <si>
    <t>Данные в последнем столбце должны быть исключительно числовыми, без пояснений, пробелов, точек и т.д.</t>
  </si>
  <si>
    <t>Пояснительная таблица ОС2</t>
  </si>
  <si>
    <t>Пояснительная таблица ОС3</t>
  </si>
  <si>
    <t>Пояснительная таблица ОС4</t>
  </si>
  <si>
    <t>Пояснительная таблица ОС5</t>
  </si>
  <si>
    <t>Пояснительная таблица ОС7</t>
  </si>
  <si>
    <t>2.</t>
  </si>
  <si>
    <t>3.</t>
  </si>
  <si>
    <t>4.</t>
  </si>
  <si>
    <t>Объем просроченной кредиторской задолженности по расходам местного бюджета</t>
  </si>
  <si>
    <t>Пояснительная таблица ПР2</t>
  </si>
  <si>
    <t>5.</t>
  </si>
  <si>
    <t>2</t>
  </si>
  <si>
    <t>3</t>
  </si>
  <si>
    <t>4</t>
  </si>
  <si>
    <t>Объединение ячеек не допускается</t>
  </si>
  <si>
    <t>1</t>
  </si>
  <si>
    <t>Пояснительная таблица ИС1</t>
  </si>
  <si>
    <t>Ссылка на страницу в сети Интернет, на которой размещена соответствующая информация (при наличии)</t>
  </si>
  <si>
    <t>При необходимости указания двух и более ссылок в отношение одной категории информации, они указываются через запятую либо в дополнительной строке (строках) таблице, следующей за строкой, содержащей наименование категории информации</t>
  </si>
  <si>
    <t>Пояснительная таблица ИС5</t>
  </si>
  <si>
    <t>Пояснительная таблица ИС4</t>
  </si>
  <si>
    <t>Пояснительная таблица ИС2</t>
  </si>
  <si>
    <r>
      <t xml:space="preserve">Индикатор ОС1
</t>
    </r>
    <r>
      <rPr>
        <sz val="8"/>
        <color indexed="8"/>
        <rFont val="Tahoma"/>
        <family val="2"/>
      </rPr>
      <t>(стр. 1 – стр. 2 - стр. 3) : (стр. 4 – стр. 5) * 100</t>
    </r>
  </si>
  <si>
    <r>
      <t xml:space="preserve">Индикатор ОС2
</t>
    </r>
    <r>
      <rPr>
        <sz val="8"/>
        <color indexed="8"/>
        <rFont val="Tahoma"/>
        <family val="2"/>
      </rPr>
      <t>(стр. 1 – стр. 2) : (стр. 3 – стр. 4) * 100</t>
    </r>
  </si>
  <si>
    <r>
      <t xml:space="preserve">Индикатор ОС5
</t>
    </r>
    <r>
      <rPr>
        <sz val="8"/>
        <color indexed="8"/>
        <rFont val="Tahoma"/>
        <family val="2"/>
      </rPr>
      <t>МОДУЛЬ [ (стр. 1 – стр. 2) : (стр. 3 – стр. 4) ] * 100</t>
    </r>
  </si>
  <si>
    <r>
      <t xml:space="preserve">Индикатор ОС7
</t>
    </r>
    <r>
      <rPr>
        <sz val="8"/>
        <color indexed="8"/>
        <rFont val="Tahoma"/>
        <family val="2"/>
      </rPr>
      <t>[ (стр. 1 : стр. 2) + (стр. 3 : стр. 4) ] * 100</t>
    </r>
  </si>
  <si>
    <r>
      <t xml:space="preserve">Итого сводная оценка достигнутых результатов в сфере повышения эффективности бюджетных расходов, </t>
    </r>
    <r>
      <rPr>
        <sz val="8"/>
        <color indexed="8"/>
        <rFont val="Tahoma"/>
        <family val="2"/>
      </rPr>
      <t>баллов</t>
    </r>
  </si>
  <si>
    <t>Отношение дефицита местного бюджета к доходам без учета объема безвозмездных поступлений</t>
  </si>
  <si>
    <t>Отношение муниципального долга (за вычетом выданных гарантий) муниципального образования  к доходам бюджета без учета объема безвозмездных поступлений</t>
  </si>
  <si>
    <t>Отношение объема просроченной кредиторской задолженности муниципального образования к расходам бюджета</t>
  </si>
  <si>
    <t>Доля бюджетных инвестиций муниципального образования в общем объеме расходов бюджета</t>
  </si>
  <si>
    <t>Процент абсолютного отклонения фактического объема доходов (без учета межбюджетных трансфертов) муниципального образования за отчетный год от первоначального плана</t>
  </si>
  <si>
    <t xml:space="preserve">Доля условно утвержденных на плановый период расходов местного бюджета </t>
  </si>
  <si>
    <t>Прирост собственных доходов местного бюджета за отчетный период</t>
  </si>
  <si>
    <t>менее 1%</t>
  </si>
  <si>
    <t>20% и более</t>
  </si>
  <si>
    <t>менее 3%</t>
  </si>
  <si>
    <t>более  20%</t>
  </si>
  <si>
    <t>ПР5</t>
  </si>
  <si>
    <t>ПР10</t>
  </si>
  <si>
    <t>Удельный вес расходов местного бюджета , формируемых в рамках программ</t>
  </si>
  <si>
    <t>п.2 МЗ 30мз/12</t>
  </si>
  <si>
    <t>п.5.2 МЗ 33мз/12</t>
  </si>
  <si>
    <t>п.5.2 МЗ 31/12</t>
  </si>
  <si>
    <t>п.5.2 МЗ  32мз/12</t>
  </si>
  <si>
    <t>Наличие нормативного правового акта , определяющего оплату труда руководителей органов местного самоуправления с учетом результатов их профессиональной деятельности</t>
  </si>
  <si>
    <t>ПР6</t>
  </si>
  <si>
    <t>ПР7</t>
  </si>
  <si>
    <t>ПР8</t>
  </si>
  <si>
    <t>ПР9</t>
  </si>
  <si>
    <t>Наличие утвержденного местного бюджета на очередной финансовый год и плановый период</t>
  </si>
  <si>
    <t>Процент абсолютного отклонения утвержденного объема расходов местного бюджета на первый год планового периода от объема расходов соответствующего года при его утверждении на очередной финансовый год</t>
  </si>
  <si>
    <t>Наличие утвержденного НПА о порядке разработки и реализации муниципальных долгосрочных и ведомственных целевых программ</t>
  </si>
  <si>
    <t>Доля ведомственных и долгосрочных целевых программ, по которым утвержденный объем финансирования изменился в течение отчетного года более чем на 15 процентов от первоначального</t>
  </si>
  <si>
    <t>Наличие нормативного закрепления  обязательности представления перечня долгосрочных и ведомственных целевых программ  в составе материалов, представляемых с проектом бюджета</t>
  </si>
  <si>
    <t xml:space="preserve">Наличие нормативно установленной  обязательности проведения публичных обсуждений проектов долгосрочных целевых программ </t>
  </si>
  <si>
    <t>Наличие нормативного закрепления механизма распределения бюджета принимаемых обязательств между принимаемыми и действующими целевыми программами</t>
  </si>
  <si>
    <t>менее 30%</t>
  </si>
  <si>
    <t>70% и более</t>
  </si>
  <si>
    <t>Наличие хотя бы одного поселения, в котором  все муниципальные учреждения (без учета органов местного самоуправления)являются казенными</t>
  </si>
  <si>
    <t>Доля автономных учреждений в общем количестве муниципальных учреждений (без учета органов МСУ)</t>
  </si>
  <si>
    <t>Доля муниципальных учреждений муниципального образования, для которых в муниципальных заданиях установлены показатели качества оказываемых муниципальных услуг (выполняемых работ)</t>
  </si>
  <si>
    <t>РБ8</t>
  </si>
  <si>
    <t>РБ9</t>
  </si>
  <si>
    <t>РБ5</t>
  </si>
  <si>
    <t>РБ6</t>
  </si>
  <si>
    <t>РБ7</t>
  </si>
  <si>
    <t>Проведение оценки потребности в отношении муниципальных услуг, оказываемых муниципальными учреждениями</t>
  </si>
  <si>
    <t>Доля муниципальных услуг, в отношении которых утверждены порядки определения нормативных затрат и величина нормативных затрат на оказание услуг</t>
  </si>
  <si>
    <t>Прирост доходов от перечисления части прибыли МУП в местный бюджет</t>
  </si>
  <si>
    <t>Публикация в сети Интернет результатов проведения публичных слушаний по проекту бюджета на очередной финансовый год и плановый период</t>
  </si>
  <si>
    <t>Доля муниципальных долгосрочных и ведомственных целевых программ, информация о которых размещена в сети Интернет</t>
  </si>
  <si>
    <t>ИС6</t>
  </si>
  <si>
    <t>Доля муниципальных учреждений, информация о результатах деятельности которых за отчетный год размещена в сети Интернет</t>
  </si>
  <si>
    <t xml:space="preserve">Размер снижения остатков средств на счетах по учету средств местного бюджета </t>
  </si>
  <si>
    <t>Объем поступлений от продажи акций и иных форм участия в капитале, находящихся в собственности муниципального образования</t>
  </si>
  <si>
    <t xml:space="preserve">Общий объем доходов местного бюджета </t>
  </si>
  <si>
    <t>Объем безвозмездных поступлений в местный бюджет из областного бюджета</t>
  </si>
  <si>
    <t>Размер муниципального долга долга муниципального образования по состоянию на конец отчетного финансового года</t>
  </si>
  <si>
    <t>Размер муниципального долга муниципального образования в части предоставленных муниципальных гарантий по состоянию на конец отчетного финансового года</t>
  </si>
  <si>
    <t>Общий объем безвозмездных поступлений в местный бюджет из других бюджетов бюджетной системы Российской Федерации</t>
  </si>
  <si>
    <t>Общий объем расходов местного бюджета</t>
  </si>
  <si>
    <t>Объем расходов местного бюджета, осуществляемых за счет субвенций, предоставляемых из областного бюджета</t>
  </si>
  <si>
    <t xml:space="preserve">Объем расходов бюджета муниципального образования на осуществление бюджетных инвестиций в объекты капитального строительства  муниципальной собственности муниципального образования за счет всех источников </t>
  </si>
  <si>
    <r>
      <t xml:space="preserve">Индикатор ОС4
</t>
    </r>
    <r>
      <rPr>
        <sz val="8"/>
        <color indexed="8"/>
        <rFont val="Tahoma"/>
        <family val="2"/>
      </rPr>
      <t>стр. 1 : (стр. 2 – стр. 3) * 100</t>
    </r>
  </si>
  <si>
    <r>
      <t xml:space="preserve">Индикатор ОС3
</t>
    </r>
    <r>
      <rPr>
        <sz val="8"/>
        <color indexed="8"/>
        <rFont val="Tahoma"/>
        <family val="2"/>
      </rPr>
      <t>стр. 1 : (стр. 2 – стр. 3) * 100</t>
    </r>
  </si>
  <si>
    <t xml:space="preserve">Таблица индикаторов оценки достигнутых муниципальным образованием результатов в сфере повышения эффективности бюджетных расходов </t>
  </si>
  <si>
    <t>Формы пояснительных таблиц, подтверждающих достижение значений индикаторов оценки достигнутых муниципальным образованием результатов в сфере повышения эффективности бюджетных расходов</t>
  </si>
  <si>
    <t>Объем доходов местного бюджета</t>
  </si>
  <si>
    <t>Объем поступлений в местный бюджет межбюджетных трансфертов</t>
  </si>
  <si>
    <t>Утвержденный на отчетный год объем доходов местного бюджета (в редакции закона о местном бюджете, действующей на 1 января отчетного года)</t>
  </si>
  <si>
    <t>Утвержденный на отчетный год объем поступлений в местный бюджет межбюджетных трансфертов (в редакции закона о местном бюджете, действующей на 1 января отчетного года)</t>
  </si>
  <si>
    <t>Пояснительная таблица ОС6</t>
  </si>
  <si>
    <t>Общий объем доходов местного бюджета за отчетный финансовый год</t>
  </si>
  <si>
    <t>Объем безвозмездных поступлений в местный бюджет из областного бюджета за отчетный финансовый год</t>
  </si>
  <si>
    <t>Общий объем доходов местного бюджета за год, предшествующий отчетному</t>
  </si>
  <si>
    <t>Объем безвозмездных поступлений в местный бюджет из областного бюджета за год, предшествующий отчетному</t>
  </si>
  <si>
    <t>Утвержденный на первый год планового периода объем условно-утвержденных расходов местного бюджета</t>
  </si>
  <si>
    <t>Утвержденный на первый год планового периода объем расходов местного бюджета</t>
  </si>
  <si>
    <t>Утвержденный на второй год планового периода объем условно-утвержденных расходов местного бюджета</t>
  </si>
  <si>
    <t>Утвержденный на второй год планового периода объем расходов местного бюджета</t>
  </si>
  <si>
    <t>Пояснительная таблица ПР5</t>
  </si>
  <si>
    <t>До 1 января 2013 года в случае утверждения муниципальным правовым актом представительного органа муниципального образования о местном бюджете в составе источников финансирования дефицита местного бюджета разницы между полученными и погашенными муниципальным образованием бюджетными кредитами, предоставленными местному бюджету другими бюджетами бюджетной системы Российской Федерации, дефицит местного бюджета может превысить ограничения, установленные пунктом 3 статьи 92.1 Бюджетного кодекса Российской Федерации.</t>
  </si>
  <si>
    <t>До 1 января 2013 года в случае утверждения муниципальным правовым актом представительного органа муниципального образования о местном бюджете в составе источников финансирования дефицита местного бюджета бюджетных кредитов, привлекаемых в местный бюджет от других бюджетов бюджетной системы Российской Федерации, предельный объем муниципального долга может превысить ограничения, установленные пунктом 3 статьи 107 Бюджетного кодекса Российской Федерации, в пределах указанных кредитов.</t>
  </si>
  <si>
    <t>Значения показателей, используемых в расчете, указываются в соответствии с муниципальным правовым актом представительного органа муниципального образования о местном бюджете на текущий год и плановый период, в редакции, действовавшей на отчетную дату (например, при определении значения показателя за 2011 год используются данные в соответствии с решением представительного органа муниципального образования о местном бюджете на 2012 год и плановый период 2013-2014 годы в редакции, действующей на 01 января 2012 года).</t>
  </si>
  <si>
    <t>Пояснительная таблица РБ8</t>
  </si>
  <si>
    <t>Пояснительная таблица РБ9</t>
  </si>
  <si>
    <t>Пояснительная таблица ПР6</t>
  </si>
  <si>
    <t>Доходы от перечисления части прибыли МУП в местный бюджет за отчетный финансовый год</t>
  </si>
  <si>
    <t>Доходы от перечисления части прибыли МУП в местный бюджет за год, предшествующий отчетному</t>
  </si>
  <si>
    <t>Наличие актуальной информации на специализированном сайте (раздела на сайте) муниципального образования в сети Интернет, на котором размещается информация о муниципальных финансах</t>
  </si>
  <si>
    <t>Ссылка в последнем столбце должна обеспечивать переход на страницу специализированного сайта муниципального образования в сети Интернет, на котором размещена соответствующая информация</t>
  </si>
  <si>
    <t xml:space="preserve">Актуальная информация об исполнении местного бюджета </t>
  </si>
  <si>
    <t>Актуальная редакция решения о местном бюджете</t>
  </si>
  <si>
    <t>Информация об объеме и структуре муниципального долга муниципального образования</t>
  </si>
  <si>
    <t xml:space="preserve">Информация об объеме кредиторской задолженности по расходам местного бюджета </t>
  </si>
  <si>
    <t>Последняя версия реестра расходных обязательств муниципального образования</t>
  </si>
  <si>
    <t>Информация о результатах проведения публичных слушаний по проекту местного бюджета на очередной финансовый год и плановый период</t>
  </si>
  <si>
    <t>Публикация в сети Интернет результатов распределения бюджета принимаемых обязательств между действующими и принимаемыми целевыми программами</t>
  </si>
  <si>
    <t>Публикация размещена в сети Интернет или средствах массовой информации в течение 30 дней после принятия соответствующего решения о распределении бюджета принимаемых обязательств</t>
  </si>
  <si>
    <t>Приказ Управления социальной защиты населения и труда Администрации г.Переславля-Залесского №22-р от 30.12.2011(Соглашение от 11.01.2012 б/н)</t>
  </si>
  <si>
    <t>Публикация содержит информацию о содержании программ, проходивших публичные обсуждения, включая информацию об основных ожидаемых результатах, которые должны быть достигнуты по каждой целевой программе при выделении заявленного объема бюджетных ассигнований из бюджета</t>
  </si>
  <si>
    <t>Публикация содержит информацию о поступивших предложениях и замечаниях к проекту программы, которая проходит публичные обсуждения</t>
  </si>
  <si>
    <t>более 15%</t>
  </si>
  <si>
    <t>менее 7,5%</t>
  </si>
  <si>
    <t>Общий объем доходов местного бюджета</t>
  </si>
  <si>
    <r>
      <t>Индикатор ОС6
((</t>
    </r>
    <r>
      <rPr>
        <sz val="8"/>
        <color indexed="8"/>
        <rFont val="Tahoma"/>
        <family val="2"/>
      </rPr>
      <t>(стр. 1 – стр. 2) : (стр. 3 – стр. 4))-1) * 100</t>
    </r>
  </si>
  <si>
    <t xml:space="preserve">менее </t>
  </si>
  <si>
    <t>95% и болеее</t>
  </si>
  <si>
    <t>Ссылка на страницу в сети Интернет, на которой размещена информация о результатах деятельности учреждения за отчетный год (при наличии)</t>
  </si>
  <si>
    <t>1.1.</t>
  </si>
  <si>
    <t>1.2.</t>
  </si>
  <si>
    <t>1.3.</t>
  </si>
  <si>
    <t>1.4.</t>
  </si>
  <si>
    <t>п.2, п.5.2 Распоряжением Администрации города Переславля-Залесского от 18.01.2012 № 4</t>
  </si>
  <si>
    <t>1.5.</t>
  </si>
  <si>
    <t>…</t>
  </si>
  <si>
    <t xml:space="preserve">  &lt;-- Для добавления дополнительных строк выделите эту строку и вставьте новую</t>
  </si>
  <si>
    <t>2.1.</t>
  </si>
  <si>
    <t>2.2.</t>
  </si>
  <si>
    <t>2.3.</t>
  </si>
  <si>
    <t>2.4.</t>
  </si>
  <si>
    <t>2.5.</t>
  </si>
  <si>
    <t>3.1.</t>
  </si>
  <si>
    <t>3.2.</t>
  </si>
  <si>
    <t>3.3.</t>
  </si>
  <si>
    <t>3.4.</t>
  </si>
  <si>
    <t>3.5.</t>
  </si>
  <si>
    <t>6.</t>
  </si>
  <si>
    <t>Муниципальные казенные учреждения</t>
  </si>
  <si>
    <t>Муниципальные бюджетные учреждения</t>
  </si>
  <si>
    <t>Муниципальные автономные учреждения</t>
  </si>
  <si>
    <t>Общее число муниципальных учреждений, информация о результатах деятельности которых размещена в сети Интернет</t>
  </si>
  <si>
    <t>Реквизиты правового акта, 
утвердившего программу</t>
  </si>
  <si>
    <r>
      <t xml:space="preserve">в т.ч. за счет субвенций, 
</t>
    </r>
    <r>
      <rPr>
        <sz val="8"/>
        <color indexed="8"/>
        <rFont val="Tahoma"/>
        <family val="2"/>
      </rPr>
      <t>тыс. руб.</t>
    </r>
  </si>
  <si>
    <t>1.1</t>
  </si>
  <si>
    <t>1.2</t>
  </si>
  <si>
    <t>1.3</t>
  </si>
  <si>
    <t>1.4</t>
  </si>
  <si>
    <t>1.5</t>
  </si>
  <si>
    <t>Данные в столбцах 4-5 должны быть исключительно числовыми, без пояснений, пробелов, точек и т.д.</t>
  </si>
  <si>
    <t>Объединение нескольких ячеек не допускается</t>
  </si>
  <si>
    <t>Если расходы на реализацию одной программы полностью или частично учитываются в расходах на реализацию иных программ, в целях расчета такие расходы учитываются только по одному типу программ</t>
  </si>
  <si>
    <t>Информация представляется по состоянию на 31 декабря отчетного года</t>
  </si>
  <si>
    <r>
      <t>Индикатор РБ2</t>
    </r>
    <r>
      <rPr>
        <sz val="8"/>
        <color indexed="8"/>
        <rFont val="Tahoma"/>
        <family val="2"/>
      </rPr>
      <t xml:space="preserve">
 [ (стр. 4) : стр. 5 ] * 100</t>
    </r>
  </si>
  <si>
    <t>Наименование целевой программы</t>
  </si>
  <si>
    <r>
      <t xml:space="preserve">Утвержденный объем расходов на 1 января отчетного года, </t>
    </r>
    <r>
      <rPr>
        <sz val="8"/>
        <color indexed="8"/>
        <rFont val="Tahoma"/>
        <family val="2"/>
      </rPr>
      <t>тыс. руб.</t>
    </r>
  </si>
  <si>
    <r>
      <t xml:space="preserve">Утвержденный объем расходов на 31 декабря отчетного года, </t>
    </r>
    <r>
      <rPr>
        <sz val="8"/>
        <color indexed="8"/>
        <rFont val="Tahoma"/>
        <family val="2"/>
      </rPr>
      <t>тыс. руб.</t>
    </r>
  </si>
  <si>
    <t>Абсолютное отклонение</t>
  </si>
  <si>
    <t>Всего</t>
  </si>
  <si>
    <t>МОДУЛЬ 
[(ст. 5 : ст. 3) * 100 - 100]</t>
  </si>
  <si>
    <t>1.6</t>
  </si>
  <si>
    <t>1.7</t>
  </si>
  <si>
    <t>1.8</t>
  </si>
  <si>
    <t>1.9</t>
  </si>
  <si>
    <t>Итого целевых программ,</t>
  </si>
  <si>
    <t>Итого целевых программ 
с отклонением более чем на 15%</t>
  </si>
  <si>
    <t>В столбцах 3 и 5 указываются объемы расходов без учета расходов, осуществляемых за счет субсидий и субвенций из бюджетов бюджетной системы</t>
  </si>
  <si>
    <t>Данные в столбцах 2-5 должны быть исключительно числовыми, без пояснений, пробелов, точек и т.д.</t>
  </si>
  <si>
    <t>Общее число муниципальных учреждений на 31 декабря отчетного года</t>
  </si>
  <si>
    <t>Число муниципальных казенных учреждений на 31 декабря отчетного года</t>
  </si>
  <si>
    <t>Доля казенных учреждений</t>
  </si>
  <si>
    <t>Данные в столбцах 2-3 должны быть исключительно числовыми, без пояснений, пробелов, точек и т.д.</t>
  </si>
  <si>
    <t>Информация в столбцах 2 и 3 указывается по состоянию на 31 декабря отчетного года</t>
  </si>
  <si>
    <t>Данный индикатор учитывается при расчете комплексной балльной оценки с  1 января 2011 года</t>
  </si>
  <si>
    <t>Проведение публичных слушаний предусмотрено решением представительного органа местного самоуправления о бюджетном процессе</t>
  </si>
  <si>
    <t xml:space="preserve">Индикатор РБ1
</t>
  </si>
  <si>
    <t>Муниципальные услуги</t>
  </si>
  <si>
    <t>Муниципальные долгосрочные и ведомственные целевые программы</t>
  </si>
  <si>
    <t>Муниципальные долгосрочные целевые программы</t>
  </si>
  <si>
    <t>Муниципальные ведомственные целевые прграммы</t>
  </si>
  <si>
    <t>Муниципальные ведомственные и долгосрочные целевые программы, иные программы муниципального образования</t>
  </si>
  <si>
    <r>
      <t xml:space="preserve">Объем расходов местного бюджета, 
</t>
    </r>
    <r>
      <rPr>
        <sz val="8"/>
        <color indexed="8"/>
        <rFont val="Tahoma"/>
        <family val="2"/>
      </rPr>
      <t>тыс. руб.</t>
    </r>
  </si>
  <si>
    <t>в т.ч. средства местного бюджета</t>
  </si>
  <si>
    <t>Общее число муниципальных учреждений</t>
  </si>
  <si>
    <t>Доход муниципальных автономных учреждений от приносящей доход деятельности за последний отчетный год</t>
  </si>
  <si>
    <t>Доход муниципальных бюджетных учреждений от приносящей доход деятельности за последний отчетный год</t>
  </si>
  <si>
    <t>Доход муниципальных автономных учреждений от приносящей доход деятельности за год, предшествующий отчетному</t>
  </si>
  <si>
    <t>Доход муниципальных бюджетных учреждений от приносящей доход деятельности за год, предшествующий отчетному</t>
  </si>
  <si>
    <t>Информация о муниципальных финансах</t>
  </si>
  <si>
    <t>Публикация содержит информацию о перечне целевых программ, между которыми осуществлялось распределение бюджета принимаемых обязательств; заявленных и распределенных между целевыми программами объемах бюджетных ассигнований</t>
  </si>
  <si>
    <t xml:space="preserve">Информация </t>
  </si>
  <si>
    <t>Объем расходов местного бюджета, осуществляемых за счет субвенций, предоставляемых из бюджетов бюджетной системы Российской Федерации, тыс.руб.</t>
  </si>
  <si>
    <t>Общий объем расходов местного бюджета, тыс. руб.</t>
  </si>
  <si>
    <t>Муниципальное учреждение</t>
  </si>
  <si>
    <t>Реквизиты правовых актов, утверждающих требования к качеству муниципальных услуг</t>
  </si>
  <si>
    <t>Общее число муниципальных услуг</t>
  </si>
  <si>
    <t xml:space="preserve">Муниципальные услуги, в отношении которых нормативно установлены требования к качеству их оказания </t>
  </si>
  <si>
    <t>Реквизиты правовых актов, утверждающих порядки определения нормативных затрат и величину нормативных затрат на оказание услуг</t>
  </si>
  <si>
    <t>Муниципальные услуги, в отношении которых утверждены порядки определения нормативных затрат и величина нормативных затрат на оказание услуг</t>
  </si>
  <si>
    <t>Информация указывается в соответствии с решением о местном бюджете в редакции по состоянию на 1 января текущего года</t>
  </si>
  <si>
    <r>
      <t xml:space="preserve">Индикатор ПР5
</t>
    </r>
    <r>
      <rPr>
        <sz val="8"/>
        <color indexed="8"/>
        <rFont val="Tahoma"/>
        <family val="2"/>
      </rPr>
      <t>(стр.1 ст.3 - стр.1 ст.4) : (стр. 3 - стр.2)</t>
    </r>
  </si>
  <si>
    <r>
      <t xml:space="preserve">Индикатор ПР6
</t>
    </r>
    <r>
      <rPr>
        <sz val="8"/>
        <color indexed="8"/>
        <rFont val="Tahoma"/>
        <family val="2"/>
      </rPr>
      <t>стр. 3 : стр. 2 * 100</t>
    </r>
  </si>
  <si>
    <t>Пояснительная таблица РБ1</t>
  </si>
  <si>
    <r>
      <t>Индикатор РБ7</t>
    </r>
    <r>
      <rPr>
        <sz val="8"/>
        <color indexed="8"/>
        <rFont val="Tahoma"/>
        <family val="2"/>
      </rPr>
      <t xml:space="preserve">
 (стр. 4 : стр. 5) * 100</t>
    </r>
  </si>
  <si>
    <r>
      <t>Индикатор РБ8
((</t>
    </r>
    <r>
      <rPr>
        <sz val="8"/>
        <color indexed="8"/>
        <rFont val="Tahoma"/>
        <family val="2"/>
      </rPr>
      <t>(стр. 1 + стр. 2) : (стр. 3 + стр. 4))-1) * 100</t>
    </r>
  </si>
  <si>
    <r>
      <t>Индикатор РБ9
((</t>
    </r>
    <r>
      <rPr>
        <sz val="8"/>
        <color indexed="8"/>
        <rFont val="Tahoma"/>
        <family val="2"/>
      </rPr>
      <t>стр. 1 : стр. 2 )-1) * 100</t>
    </r>
  </si>
  <si>
    <t>Пояснительная таблица ИС3</t>
  </si>
  <si>
    <t>Доля муниципальных автономных и бюджетных  учреждений муниципального образования, оказывающих муниципальные услуги в рамках выполнения муниципальных заданий, в общем числе муниципальных учреждений муниципального образования</t>
  </si>
  <si>
    <t xml:space="preserve">Общее число муниципальных автономных учреждений </t>
  </si>
  <si>
    <t>Общее число муниципальных бюджетных учреждений, оказывающих муниципальные услуги в рамках выполнения муниципальных заданий</t>
  </si>
  <si>
    <t>Общее число муниципальных автономных учреждений, оказывающих муниципальные услуги в рамках выполнения муниципальных заданий</t>
  </si>
  <si>
    <t>Материалы и документы, представляемые в представительный орган местного самоуправления муниципального образования вместе с проектом местного бюджета</t>
  </si>
  <si>
    <t>Нормативно установлен порядок и сроки проведения публичных слушаний по проекту местного бюджета</t>
  </si>
  <si>
    <t>Публикация размещена в сети Интернет в течение 30 дней после даты проведения публичных слушаний и содержит информацию о ходе и результатах проведения слушаний, в т.ч. информацию о предложениях и замечаниях к проекту местного бюджета</t>
  </si>
  <si>
    <t>Общее число муниципальных долгосрочных и ведомственных целевых программ,информация о которых размещена в сети Интернет</t>
  </si>
  <si>
    <t>Общее число муниципальных долгосрочных и ведомственных целевых программ</t>
  </si>
  <si>
    <t>Публикация в сети Интернет результатов проведения публичных обсуждений проектов долгосрочных целевых программ</t>
  </si>
  <si>
    <t xml:space="preserve">Информация о муниципальных долгосрочных и ведомственных целевых программах должна быть размещена на сайте (портале) местной администрации, либо на сайте раскрытия информации о муниципальных финансах.
</t>
  </si>
  <si>
    <t xml:space="preserve">В таблице должны быть отражены все муниципальные долгосрочные и ведомственные целевые программы муниципального образования </t>
  </si>
  <si>
    <t>Группа индикаторов «Обеспечение сбалансированности и устойчивости местных бюджетов»</t>
  </si>
  <si>
    <t>Группа индикаторов «Внедрение программно-целевых принципов организации деятельности органов местного самоуправления»</t>
  </si>
  <si>
    <t>Группа индикаторов «Развитие информационной системы управления муниципальными финансами»</t>
  </si>
  <si>
    <t>Прирост объема доходов муниципальных автономных и бюджетных учреждений муниципального образования от приносящей доход деятельности</t>
  </si>
  <si>
    <t>Наличие утвержденного порядка  и методики муниципального образования</t>
  </si>
  <si>
    <t>В таблице указываются все долгосрочные и ведомственные целевые программы, финансировавшиеся из местного бюджета.</t>
  </si>
  <si>
    <t>Утвержденный на первый год планового периода общий объем расходов местного бюджета</t>
  </si>
  <si>
    <t>Пояснительная таблица ПР3</t>
  </si>
  <si>
    <t>Ссылка на соответствующую правовую норму</t>
  </si>
  <si>
    <t>Утверждена правовым актом финансового органа без ограничения срока действия</t>
  </si>
  <si>
    <t>Содержит методы (порядки) расчета стоимости различных видов бюджетных ассигнований на исполнение расходных обязательств, предусмотренных ст. 69 Бюджетного кодекса РФ</t>
  </si>
  <si>
    <t>Предусматривает раздельное планирование по действующим и принимаемых обязательствам</t>
  </si>
  <si>
    <t>Устанавливает форму представления обоснований бюджетных ассигнований (ОБАС) для отдельных видов расходных обязательств</t>
  </si>
  <si>
    <t xml:space="preserve">Содержит порядок и формулу определения предельных объемов бюджетных ассигнований, доводимых до главных распорядителей    
бюджетных средств в процессе составления проекта бюджета
</t>
  </si>
  <si>
    <t>Информация о порядке разработки и реализации муниципальных долгосрочных и ведомственных целевых программ</t>
  </si>
  <si>
    <t>Информация о порядке и методике планирования бюджетных ассигнований</t>
  </si>
  <si>
    <t>Утвержден правовым актом местной администрации без ограничения срока действия</t>
  </si>
  <si>
    <t>Содержит требования к показателям результатов целей, задач и мероприятий программы в увязке со стратегическими целями и задачами социально-экономического развития муниципального образования</t>
  </si>
  <si>
    <t>Содержит требования к оценке результативности и эффективности программ, составлению рейтинга программ по показателям эффективности и результативности</t>
  </si>
  <si>
    <t>Устанавливает процедуры изменения (корректировки) или досрочного прекращения с учетом фактических показателей результативности и эффективности</t>
  </si>
  <si>
    <t>Обязательность проведения публичных обсуждений проектов долгосрочных целевых программ установлена правовым актом местной администрации муниципального образования, который закрепляет порядок составления, рассмотрения и утверждения долгосрочных целевых программ</t>
  </si>
  <si>
    <t>Правовым актом местной администрации муниципального образования установлен порядок проведения публичных обсуждений проектов долгосрочных целевых программ</t>
  </si>
  <si>
    <t>Порядок проведения публичных обсуждений проектов долгосрочных целевых программ предусматривает открытое обсуждение, в том числе и возможность участия в обсуждении оппонентов данных программ</t>
  </si>
  <si>
    <t>Закреплен правовым актом местной администрации муниципального образования, устанавливающим порядок составления проекта бюджета и (или) порядок составления, рассмотрения и утверждения соответствующих целевых программ</t>
  </si>
  <si>
    <t>Предполагает распределение бюджета принимаемых обязательств или его части между действующими программами (в части увеличения, начиная с очередного года, расходов на их реализацию) и принимаемыми целевыми программами, в том числе проектами целевых программ</t>
  </si>
  <si>
    <t>Содержит порядок определения (установления) объема бюджета принимаемых обязательств, подлежащего распределению между действующими и принимаемыми целевыми программами</t>
  </si>
  <si>
    <t>Реквизиты акта об утверждении муниципального задания</t>
  </si>
  <si>
    <t>Пояснительная таблица РБ2, РБ3, РБ4, ИС6</t>
  </si>
  <si>
    <t>Количество муниципальных автономных учреждений, для которых сформировано муниципальное задание, содержащее показатели, характеризующие качество оказываемых муниципальных услуг (выполняемых работ)</t>
  </si>
  <si>
    <t>Количество муниципальных бюджетных учреждений, для которых сформировано муниципальное задание, содержащее показатели, характеризующие качество оказываемых муниципальных услуг (выполняемых работ)</t>
  </si>
  <si>
    <t>Количество муниципальных бюджетных и автономных учреждений по состоянию на конец отчетного финансового года</t>
  </si>
  <si>
    <t>Информация о порядке проведения оценки потребности в муниципальных услугах</t>
  </si>
  <si>
    <t>Информация о порядке распределения бюджета принимаемых обязательств между принимаемыми и действующими целевыми программами</t>
  </si>
  <si>
    <t>Содержит требования к порядку и методам оценки потребности в оказании муниципальных услуг (в натуральном выражении) в сравнении с фактическими объемами предоставления услуг</t>
  </si>
  <si>
    <t>Предполагает прогнозирование потребности в муниципальных услугах на очередной финансовый год и плановый период в сравнении с плановым объемом оказания услуг за счет средств местного бюджета</t>
  </si>
  <si>
    <t>Устанавливает требования об использовании результатов оценки и прогноза потребности для целей бюджетного планирования</t>
  </si>
  <si>
    <t>Пояснительная таблица РБ6, РБ7</t>
  </si>
  <si>
    <t>В строке 3 столбце 2 необходимо указать ссылку на страницу в сети Интернет, на которой размещена соответствующая информация (при наличии)</t>
  </si>
  <si>
    <t>Ссылка на страницу в сети Интернет, на которой размещена соответствующая информация (при наличии)/на соответствующую правовую норму</t>
  </si>
  <si>
    <t>В строках 1,2 столбце 2 необходимо указать ссылку на соответствующую правовую норму</t>
  </si>
  <si>
    <t>Ссылка на страницу в сети Интернет, на которой размещены сведения о результативности и эффективности целевых программ</t>
  </si>
  <si>
    <t>Ссылка на страницу в сети Интернет, на которой размещены отчеты о ходе и результатах реализации целевых программ</t>
  </si>
  <si>
    <t>Ссылка на страницу в сети Интернет, на которой размещена актуальная редакция утвержденных ведомственных и долгосрочных целевых программ</t>
  </si>
  <si>
    <t>7.</t>
  </si>
  <si>
    <t>8.</t>
  </si>
  <si>
    <t>9.</t>
  </si>
  <si>
    <t>http://bengal.msk.ru/pomet-05.htm</t>
  </si>
  <si>
    <t>10.</t>
  </si>
  <si>
    <t>11.</t>
  </si>
  <si>
    <t>12.</t>
  </si>
  <si>
    <t>13.</t>
  </si>
  <si>
    <t>14.</t>
  </si>
  <si>
    <t>15.</t>
  </si>
  <si>
    <t>При отсутствии утвержденной целевой программы на начало отчетного года в столбцах 2 и 3 указываются значения в соответствии с первой редакцией решения представительного органа местного самоуправления муниципального образования о местном бюджете</t>
  </si>
  <si>
    <t>Наименование поселения</t>
  </si>
  <si>
    <t>Итого число поселений, у которых все муниципальные учреждения являются казенными</t>
  </si>
  <si>
    <t>Проект местного бюджета, представляемый  в представительный орган местного самоуправления муниципального образования</t>
  </si>
  <si>
    <r>
      <t>Индикатор РБ6</t>
    </r>
    <r>
      <rPr>
        <sz val="8"/>
        <color indexed="8"/>
        <rFont val="Tahoma"/>
        <family val="2"/>
      </rPr>
      <t xml:space="preserve">
 (стр. 2 : стр. 3) * 100</t>
    </r>
  </si>
  <si>
    <r>
      <t>Индикатор ИС3</t>
    </r>
    <r>
      <rPr>
        <sz val="8"/>
        <color indexed="8"/>
        <rFont val="Tahoma"/>
        <family val="2"/>
      </rPr>
      <t xml:space="preserve">
 (стр. 1 : стр. 2) * 100</t>
    </r>
  </si>
  <si>
    <t>4.1.</t>
  </si>
  <si>
    <t>4.2.</t>
  </si>
  <si>
    <t>4.3.</t>
  </si>
  <si>
    <t>4.4.</t>
  </si>
  <si>
    <t>4.5.</t>
  </si>
  <si>
    <t>5.1.</t>
  </si>
  <si>
    <t>5.2.</t>
  </si>
  <si>
    <t>5.3.</t>
  </si>
  <si>
    <t>5.4.</t>
  </si>
  <si>
    <t>5.5.</t>
  </si>
  <si>
    <r>
      <t>Индикатор РБ3</t>
    </r>
    <r>
      <rPr>
        <sz val="8"/>
        <color indexed="8"/>
        <rFont val="Tahoma"/>
        <family val="2"/>
      </rPr>
      <t xml:space="preserve">
 [ (стр. 6 + стр. 7) : стр. 5 ] * 100</t>
    </r>
  </si>
  <si>
    <r>
      <t>Индикатор ИС6</t>
    </r>
    <r>
      <rPr>
        <sz val="8"/>
        <color indexed="8"/>
        <rFont val="Tahoma"/>
        <family val="2"/>
      </rPr>
      <t xml:space="preserve">
 (стр. 10 : стр. 5) * 100</t>
    </r>
  </si>
  <si>
    <r>
      <t>Индикатор РБ4</t>
    </r>
    <r>
      <rPr>
        <sz val="8"/>
        <color indexed="8"/>
        <rFont val="Tahoma"/>
        <family val="2"/>
      </rPr>
      <t xml:space="preserve">
 [ (стр. 8 + стр. 9) : стр. 11 ] * 100</t>
    </r>
  </si>
  <si>
    <t>Ссылка на норму (пункт, подпункт и т.д.) в муниципальном задании, содержащей показатели качества в отношении услуг и работ, включенных в задание, и определяющей их плановые значения</t>
  </si>
  <si>
    <t>Утвержденный на текущий финансовый год общий объем расходов местного бюджета</t>
  </si>
  <si>
    <r>
      <t xml:space="preserve">Индикатор ПР2
</t>
    </r>
    <r>
      <rPr>
        <sz val="8"/>
        <color indexed="8"/>
        <rFont val="Tahoma"/>
        <family val="2"/>
      </rPr>
      <t>МОДУЛЬ [ (((стр. 1 - стр.2) : (стр. 3 - стр. 4) – 1) ] * 100</t>
    </r>
  </si>
  <si>
    <t>п.2 МЗ 11мз/12</t>
  </si>
  <si>
    <t>п.2 МЗ 12мз/12</t>
  </si>
  <si>
    <t>п.2 МЗ 13мз/12</t>
  </si>
  <si>
    <t>п.2 МЗ 14мз/12</t>
  </si>
  <si>
    <t>п.2 МЗ 15мз/12</t>
  </si>
  <si>
    <t>п.2 МЗ 16мз/12</t>
  </si>
  <si>
    <t>п.2 МЗ 17мз/12</t>
  </si>
  <si>
    <t>п.2 МЗ 18мз/12</t>
  </si>
  <si>
    <t>п.2 МЗ 19мз/12</t>
  </si>
  <si>
    <t>п.2 МЗ 20мз/12</t>
  </si>
  <si>
    <t>п.2 МЗ 21мз/12</t>
  </si>
  <si>
    <t>п.2 МЗ 1мз/12</t>
  </si>
  <si>
    <t>п.2 МЗ 7мз/12</t>
  </si>
  <si>
    <t>п.2 МЗ 2мз/12</t>
  </si>
  <si>
    <t>п.2 МЗ 24мз/12</t>
  </si>
  <si>
    <t>п.2 МЗ 23мз/12</t>
  </si>
  <si>
    <t>п.2 МЗ 26мз/12</t>
  </si>
  <si>
    <t>п.2 МЗ 25мз/12</t>
  </si>
  <si>
    <t>п.2 МЗ 22мз/12</t>
  </si>
  <si>
    <t>п.2 МЗ 28мз/12</t>
  </si>
  <si>
    <t>п.2 МЗ 27мз/12</t>
  </si>
  <si>
    <t>п.2 МЗ 29мз/12</t>
  </si>
  <si>
    <t>Утвержденный на первый год планового периода объем доходов местного бюджета в виде межбюджетных трансфертов из других бюджетов бюджетной системы РФ</t>
  </si>
  <si>
    <t>Утвержденный на текущий год общий  объем доходов местного бюджета в виде межбюджетных трансфертов из других бюджетов бюджетной системы РФ</t>
  </si>
  <si>
    <t>4.6.</t>
  </si>
  <si>
    <t>4.57.</t>
  </si>
  <si>
    <t>4.56.</t>
  </si>
  <si>
    <t>4.55.</t>
  </si>
  <si>
    <t>4.54.</t>
  </si>
  <si>
    <t>4.53.</t>
  </si>
  <si>
    <t>4.52.</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</si>
  <si>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</si>
  <si>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</si>
  <si>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</si>
  <si>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</si>
  <si>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</si>
  <si>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</si>
  <si>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</si>
  <si>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</si>
  <si>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</si>
  <si>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</si>
  <si>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</si>
  <si>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</si>
  <si>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</si>
  <si>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</si>
  <si>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</si>
  <si>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</si>
  <si>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</si>
  <si>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</si>
  <si>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</si>
  <si>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</si>
  <si>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</si>
  <si>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</si>
  <si>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</si>
  <si>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</si>
  <si>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</si>
  <si>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</si>
  <si>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</si>
  <si>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</si>
  <si>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</si>
  <si>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</si>
  <si>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</si>
  <si>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</si>
  <si>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</si>
  <si>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</si>
  <si>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</si>
  <si>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</si>
  <si>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</si>
  <si>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</si>
  <si>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</si>
  <si>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</si>
  <si>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</si>
  <si>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</si>
  <si>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</si>
  <si>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</si>
  <si>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</si>
  <si>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5.57.</t>
  </si>
  <si>
    <t>5.56.</t>
  </si>
  <si>
    <t>5.55.</t>
  </si>
  <si>
    <t>5.54.</t>
  </si>
  <si>
    <t>5.6.</t>
  </si>
  <si>
    <t>5.50.</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</si>
  <si>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</si>
  <si>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</si>
  <si>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</si>
  <si>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</si>
  <si>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</si>
  <si>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</si>
  <si>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</si>
  <si>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</si>
  <si>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</si>
  <si>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</si>
  <si>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</si>
  <si>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</si>
  <si>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</si>
  <si>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</si>
  <si>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</si>
  <si>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</si>
  <si>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</si>
  <si>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</si>
  <si>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</si>
  <si>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</si>
  <si>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</si>
  <si>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</si>
  <si>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</si>
  <si>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</si>
  <si>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</si>
  <si>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</si>
  <si>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</si>
  <si>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</si>
  <si>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</si>
  <si>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</si>
  <si>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</si>
  <si>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</si>
  <si>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</si>
  <si>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</si>
  <si>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</si>
  <si>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</si>
  <si>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</si>
  <si>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</si>
  <si>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</si>
  <si>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</si>
  <si>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</si>
  <si>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</si>
  <si>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</si>
  <si>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5.51.</t>
  </si>
  <si>
    <t>5.52.</t>
  </si>
  <si>
    <t>5.53.</t>
  </si>
  <si>
    <t>Ячейки, выделенные цветом (столбец S строки индикаторов ПР1, ПР7 и ПР10), необходимо заполнить вручную (проставить да или нет). Остальные ячейки диапазона считаются автоматически, то есть внесения данных вручную не требуется.</t>
  </si>
  <si>
    <t>При отсутствии размещенной в сети Интернет информации последний столбец не заполняется.</t>
  </si>
  <si>
    <t>При отсутствии размещенной в сети Интернет информации о  муниципальных долгосрочных и ведомственных целевых программах последний столбец не заполняется.</t>
  </si>
  <si>
    <t>При отсутствии правовой нормы последний столбец не заполняется.</t>
  </si>
  <si>
    <t>При отсутствии размещенной в сети Интернет информации (при отсутствии правовой нормы) последний столбец не заполняется.</t>
  </si>
  <si>
    <t>Пояснительная таблица ПР4</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</si>
  <si>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</si>
  <si>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</si>
  <si>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</si>
  <si>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</si>
  <si>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</si>
  <si>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</si>
  <si>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</si>
  <si>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</si>
  <si>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</si>
  <si>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</si>
  <si>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</si>
  <si>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</si>
  <si>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</si>
  <si>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</si>
  <si>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</si>
  <si>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</si>
  <si>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</si>
  <si>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</si>
  <si>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</si>
  <si>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</si>
  <si>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</si>
  <si>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</si>
  <si>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</si>
  <si>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</si>
  <si>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</si>
  <si>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</si>
  <si>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</si>
  <si>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</si>
  <si>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</si>
  <si>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</si>
  <si>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</si>
  <si>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</si>
  <si>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</si>
  <si>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</si>
  <si>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</si>
  <si>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</si>
  <si>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</si>
  <si>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</si>
  <si>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</si>
  <si>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</si>
  <si>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</si>
  <si>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</si>
  <si>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</si>
  <si>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</si>
  <si>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</si>
  <si>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</si>
  <si>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</si>
  <si>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</si>
  <si>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</si>
  <si>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ГЦП "Развитие системы мер социальной поддержки населения г.Переславля-Залесского" на 2010-2012 годы</t>
  </si>
  <si>
    <t>ВЦП "Молодежь" на 2010-2012 годы</t>
  </si>
  <si>
    <t>ВЦП "Совершенствование единой дежурно-диспетчерской службы города Переславля-Залесского на 2010-2011 годы"</t>
  </si>
  <si>
    <t>ВЦП "Развитие сферы культуры г.Переславля-Залесского на 2011-2013 годы"</t>
  </si>
  <si>
    <t>ВЦП "Содержание и ремонт муниципальных образовательных учредений г.Переславля-Залесского на 2011-2013годы"</t>
  </si>
  <si>
    <t>ВЦП "Поддержка и развитие системы здравоохрахения г.Переславля-Залесского в 2011-2013гг."</t>
  </si>
  <si>
    <t>ГЦП "Обращение с твёрдыми бытовыми отходами на территории г.Переславля-Залесского " на 2010-2014 годы</t>
  </si>
  <si>
    <t>ГЦП "Развитие физической культуры и спорта в городе Переславле-Залесском" на 2009-2012 годы</t>
  </si>
  <si>
    <t>ГЦП "Развитие субъектов малого и среднего предпринимательства города Переславля-Залесского на 2010-2012 годы "</t>
  </si>
  <si>
    <t>ГЦП "Реформирование муниципальных финансов городского округа города Переславля-Залесского на 2009-2012 г.г."</t>
  </si>
  <si>
    <t>ГЦП "Энергосбережение на территории города Переславля - Залесского на 2011-2013 годы "</t>
  </si>
  <si>
    <t>ГЦП "Комплексные меры противодействия злоупотреблению наркотиками и их незаконному обороту" на 2010-2012 годы</t>
  </si>
  <si>
    <t>ГЦП "Обеспечение г.Переславля-Залесского градостроительной документацией на 2010-2012 годы"</t>
  </si>
  <si>
    <t>ГЦП "О муниципальной поддержке отдельных категорийграждан, проживающих в г.Переславле-Залесском, по проведению ремонта жилых помещений и (или) работ, направленных на повышение уровня обеспеченности их коммунальными услугами на 2010-2013годы"</t>
  </si>
  <si>
    <t>ГЦП "Чистая вода" на 2010-2014 годы</t>
  </si>
  <si>
    <t>ГЦП развития образования на 2010-2012 годы</t>
  </si>
  <si>
    <t>ГЦП "Развитие сферы въезного и внутреннего туризма в г.Переславле-Залесском" на 2009-2012 годы"</t>
  </si>
  <si>
    <t>ГЦП "Комплексная программа модернизации и реформирования ЖКХ города Переславля-Залесского" на 2011-2014 годы</t>
  </si>
  <si>
    <t>ГЦП "Профилактика безнадзорности, правонарушений и защита прав несовершеннолетних на территории г.Переславля-Залесского на 2009-2012 годы"</t>
  </si>
  <si>
    <t>ГЦП "Патриотическое воспитание граждан РФ, проживающих на территории г.Переславля-Залессого" на 2011-2013 годы</t>
  </si>
  <si>
    <t>ГЦП "Обеспечение первичных мер пожарной безопасности города Переславля-Залесского на 2011-2013 годы"</t>
  </si>
  <si>
    <t>ГЦП "Сохранность автомобильных дорог г.Переславля-Залесского" на 2010-2015 годы</t>
  </si>
  <si>
    <t>п.2 муниципального задания</t>
  </si>
  <si>
    <t>Приказ Управления культуры, молодежи и спорта Администрации от 30.12.2011 №72-п (Соглашение от 31.01.2012 №10)</t>
  </si>
  <si>
    <t>ГЦП "Развитие сферы въездного и внутреннего  туризма в городе Переславле-Залесском" на 2009-2012 годы"</t>
  </si>
  <si>
    <t>ГЦП "Борьба с преступностью в городе Переславле-Залесском"  на 2010-2012 годы</t>
  </si>
  <si>
    <t>ГЦП "Комплексная программа модернизации и реформирования жилищно-коммунального хозяйства города Переславля - Залесского" на 2011-2014 годы</t>
  </si>
  <si>
    <t>Программа "Жилище" на 2011-2015 годыПодпрограмма "Муниципальная поддержка молодых семей г.Переславля-Залесского в приобретении (строительстве) жилья"</t>
  </si>
  <si>
    <t>ГЦП "Профилактика безнадзорности, правонарушений и защита прав несовершеннолетних на территории города Переславля - Залесского на 2009-2012 годы"</t>
  </si>
  <si>
    <t xml:space="preserve">ГЦП "Патриотическое воспитание граждан РФ, проживающих на территории г.Переславля-Залесского" на 2011-2013 годы </t>
  </si>
  <si>
    <t>ГЦП"Сохранность автомобильных дорог г.Переславля-Залесского" на 2010-2015 годы</t>
  </si>
  <si>
    <t>ГЦП "Обеспечение отдыха, оздоровления, занятости детей и подростков города Переславля-Залесского на 2011 -2013 год"</t>
  </si>
  <si>
    <t>ГЦП "Социальная поддержка пожилых граждан в городе Переславле-Залесском на 2012-2013 годы"</t>
  </si>
  <si>
    <t xml:space="preserve"> ВЦП "Обеспечение функционирования и развития муниципальной системы образования города.Переславля-Залесского" на 2011-2013 годы</t>
  </si>
  <si>
    <t>ГАП по проведению капитального ремонта многоквартирных домов в городе Переславле-Залесском на 2012год- 5 этап</t>
  </si>
  <si>
    <t>ГАП "Переселение граждан из аварийного жилищного фонда города Переславля-Залесского с учетом необходимости развития малоэтажного жилищного сторительста на 2012год"</t>
  </si>
  <si>
    <t>ГЦП "Повышение эффективности бюджетных расходов городского округа города Переславля-Залесского" на 2011-2013 годы</t>
  </si>
  <si>
    <t>8 мз/12</t>
  </si>
  <si>
    <t>5 мз/12</t>
  </si>
  <si>
    <t>3 мз/12</t>
  </si>
  <si>
    <t>6 мз/12</t>
  </si>
  <si>
    <t>4 мз/12</t>
  </si>
  <si>
    <t>9 мз/12</t>
  </si>
  <si>
    <t>ГЦП "Обеспечение отдыха, оздоровления, занятости детей и подростков города Переславля-Залесского на 2011-2013 год"</t>
  </si>
  <si>
    <t>ГЦП "Борьба с преступностью в городе Переславле-Залесском" на 2010-2012 годы</t>
  </si>
  <si>
    <t>ГПЦ "Социальноя поддержка пожилых граждан в городе Переславле-Залесском" на 2012-2013 годы</t>
  </si>
  <si>
    <t>Постановление Администрации г.Переславля-Залесского от27.02.2012 №135  "Об утверждении Порядка и методики планирования и составления обоснований бюджетных ассигнований на очередной финансовый год и плановый период"</t>
  </si>
  <si>
    <t>Муниципальное учреждение "Служда обеспечения и ЕДДС"</t>
  </si>
  <si>
    <t>Муниципальное бюджетное учреждение "ЦОФ"</t>
  </si>
  <si>
    <t>Муниципальное учреждение "Центр выплат"</t>
  </si>
  <si>
    <t xml:space="preserve">Муниципальное дошкольное образовательное учреждение детский сад общеразвивающего вида № 17 «Солнышко» </t>
  </si>
  <si>
    <t>Муниципальное дошкольное образовательное учреждение детский сад общеразвивающего вида № 11 «Аленушка»</t>
  </si>
  <si>
    <t xml:space="preserve">Муниципальное дошкольное образовательное учреждение детский сад общеразвивающего вида № 22 «Колосок» </t>
  </si>
  <si>
    <t xml:space="preserve">Муниципальное дошкольное образовательное учреждение детский сад общеразвивающего вида № 4 «Светлячок» </t>
  </si>
  <si>
    <t xml:space="preserve">Муниципальное дошкольное образовательное учреждение детский сад общеразвивающего вида № 2 «малыш» </t>
  </si>
  <si>
    <t xml:space="preserve">Муниципальное дошкольное образовательное учреждение детский сад общеразвивающего вида № 8 «Родничок» </t>
  </si>
  <si>
    <t>Муниципальное дошкольное образовательное учреждение детский сад общеразвивающего вида № 3 «Березка»</t>
  </si>
  <si>
    <t xml:space="preserve">Муниципальное образовательное учреждение детский сад общеразвивающего вида № 1 «Дюймовочка» </t>
  </si>
  <si>
    <t>Муниципальное образовательное учреждение детский сад общеразвивающего вида № 10 «Чебурашка»</t>
  </si>
  <si>
    <t xml:space="preserve"> Муниципальное образовательное учреждение детский сад общеразвивающего вида № 9 «Колокольчик» </t>
  </si>
  <si>
    <t>Муниципальное учреждение комплексный центр социального обслуживания населения "Надежда"</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</si>
  <si>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</si>
  <si>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</si>
  <si>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</si>
  <si>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</si>
  <si>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</si>
  <si>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</si>
  <si>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</si>
  <si>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</si>
  <si>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</si>
  <si>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</si>
  <si>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</si>
  <si>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</si>
  <si>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</si>
  <si>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</si>
  <si>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</si>
  <si>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</si>
  <si>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</si>
  <si>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</si>
  <si>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</si>
  <si>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</si>
  <si>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</si>
  <si>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</si>
  <si>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</si>
  <si>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</si>
  <si>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</si>
  <si>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</si>
  <si>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</si>
  <si>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</si>
  <si>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</si>
  <si>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</si>
  <si>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</si>
  <si>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 xml:space="preserve">Муниципальное дошкольное образовательное учреждение детский сад общеразвивающего вида № 5 «Звездочка» </t>
  </si>
  <si>
    <t xml:space="preserve">Муниципальное образовательное учреждение для детей дошкольного и младшего школьного возраста начальная школа – детский сад № 5 </t>
  </si>
  <si>
    <t xml:space="preserve">Муниципальное образовательное учреждение средняя общеобразовательная школа № 2 </t>
  </si>
  <si>
    <t xml:space="preserve"> Муниципальное образовательное учреждение средняя общеобразовательная школа № 3 </t>
  </si>
  <si>
    <t xml:space="preserve"> Муниципальное образовательное учреждение средняя общеобразовательная школа № 6 </t>
  </si>
  <si>
    <t>Муниципальное образовательное учреждение средняя общеобразовательная школа № 1</t>
  </si>
  <si>
    <t>Муниципальное образовательное учреждение средняя общеобразовательная школа № 4</t>
  </si>
  <si>
    <t xml:space="preserve"> Муниципальное образовательное учреждение средняя общеобразовательная школа № 9</t>
  </si>
  <si>
    <t xml:space="preserve">Муниципальное общеобразовательное учреждение – гимназия г.Переславля-Залесского </t>
  </si>
  <si>
    <t xml:space="preserve">Муниципальное специальное учебно-воспитательное учреждение, специальная общеобразовательная школа № 8 открытого типа </t>
  </si>
  <si>
    <t xml:space="preserve">Муниципальное образовательное учреждение дополнительного образования детей «Центр детского творчества» </t>
  </si>
  <si>
    <t xml:space="preserve">Муниципальное образовательное учреждение дополнительного образования детей Центр внешкольной работы «Ювента» </t>
  </si>
  <si>
    <t xml:space="preserve">Муниципальное образовательное учреждение дополнительного образования детей Центр детского технического творчества </t>
  </si>
  <si>
    <t xml:space="preserve">Муниципальное образовательное учреждение дополнительного образования детей Центр развития творчества детей и юношества «Романтик» </t>
  </si>
  <si>
    <t xml:space="preserve">Муниципальное образовательное учреждение дополнительного образования детей Центр творческого развития и гуманитарного образования </t>
  </si>
  <si>
    <t xml:space="preserve">Муниципальное образовательное учреждение дополнительного образования детей станция детского и юношеского туризма и экскурсий </t>
  </si>
  <si>
    <t xml:space="preserve">Муниципальное образовательное учреждение дополнительного образования детей «Детско-юношеская спортивная школа – 2» </t>
  </si>
  <si>
    <t>Муниципальное образовательное учреждение дополнительного образования детей детско-юношеская спортивная школа</t>
  </si>
  <si>
    <t xml:space="preserve">Муниципальное образовательное учреждение для детей, нуждающихся в психолого-педагогической и медико-социальной помощи, Центр диагностики и консультирования «Доверие» </t>
  </si>
  <si>
    <t xml:space="preserve">Муниципальное образовательное учреждение для детей межшкольный учебный комбинат </t>
  </si>
  <si>
    <t>Муниципальное бюджетное учреждение "Многофункциональный центр развития города Переславля-Залесского"</t>
  </si>
  <si>
    <t>http://adm.pereslavl.ru/Municipalnie_zadaniy/index412-1149.html</t>
  </si>
  <si>
    <t>Муниципальное образовательное учреждение дополнительного образования детей Детская музыкальная школа города Переславля-Залесского</t>
  </si>
  <si>
    <t>Муниципальное образовательное учреждение дополнительного образования детей Детская художественная школа города Переславля-Залесского»,</t>
  </si>
  <si>
    <t>Муниципальное учреждение культуры «Городское библиотечное объединение»,</t>
  </si>
  <si>
    <t>Муниципальное  учреждение «Молодежный центр"</t>
  </si>
  <si>
    <t>п.5.2 муниципального задания</t>
  </si>
  <si>
    <t>Муниципальное учреждение культуры Культурно-досуговый центр «Плещей» города Переславля-Залесского</t>
  </si>
  <si>
    <t xml:space="preserve">Муниципальное дошкольное образовательное учреждение детский сад общеразвивающего вида № 6 «Рябинка» </t>
  </si>
  <si>
    <t>МУДО "Оздоровительный лагерь "Орленок"</t>
  </si>
  <si>
    <t>МОУ ДОД оздоровительно - образовательный лагерь "Чайка"</t>
  </si>
  <si>
    <t>Постановление Администрации от 01.04.10г.№358"Об утверждении Положения о порядке Проведения мониторинга потребности в муниципальных услугах, формирования, ведения и обновления реестра муниципальных услуг Администрации г.Переславля-Залесского", Постановление Администрации от 29.07.10г. №1069 " Об утверждении перечня показателей, рекомендуемых для применения при составлении муниципального задания"</t>
  </si>
  <si>
    <t>Постановление Администрации от 01.04.10г.№358"Об утверждении Положения о порядке Проведения мониторинга потребности в муниципальных услугах, формирования, ведения и обновления реестра муниципальных услуг Администрации г.Переславля-Залесского",Постановление Администрации от 07.06.10г №705 "О мерах по созданию системы учета потребности в муниципальных услуг при формировании проекта бюджета города Переславля-Залесского на очередной финансовый год и плановый период"</t>
  </si>
  <si>
    <t>Рекализация основных образовантельных программ дошкольного образования</t>
  </si>
  <si>
    <t>Приказ Управления образования Администрации г. Переславля-Залесского от 30.12.2011 № 484/01-06 (Соглашение от 30.12.2011 1мз/12)</t>
  </si>
  <si>
    <t>Приказ Управления культуры, молодежи и спорта Администрации от 30.12.2011 №73-п(Соглашение от 10.01.2012 №1)</t>
  </si>
  <si>
    <t>п.5.2 МЗ</t>
  </si>
  <si>
    <t>ГЦП "О муниципальной поддержке отдельных категорий граждан, проживающих в г.Переславле-Залесском, по проведению ремонта жилых помещений и (или) работ, направленных на повышение уровня обеспеченности их коммунальными услугами на 2010-2013годы"</t>
  </si>
  <si>
    <t>ГЦП "Доступная среда" на 2012-2015 годы</t>
  </si>
  <si>
    <t>МУ "ФОК"Чемпион"</t>
  </si>
  <si>
    <t>2,37</t>
  </si>
  <si>
    <t>2,38</t>
  </si>
  <si>
    <t>МзЗ 10мз/12 от30.12.2011</t>
  </si>
  <si>
    <t>Оказание психолого-педагогической и медико-социальной помощи детям</t>
  </si>
  <si>
    <t xml:space="preserve"> http://adm.pereslavl.ru/Publichnie_sluwaniy/index67-830.html , </t>
  </si>
  <si>
    <t>Постановление Администрации 11.08.06г.№1002 "Об утверждении Положения о порядке разработки, утверждения и реализации ведомственных целевых программ"(в ред от 01.12.08г. №1367, от 01.04.10г.№357,№499 от 23.04.2012 г.)</t>
  </si>
  <si>
    <t>1,20</t>
  </si>
  <si>
    <t>ГАП "Переселение граждан из аварийного жилищного фонда города Переславля-Залесского на 2012год"</t>
  </si>
  <si>
    <t>ВЦП "Совершенствование единой дежурно-диспетчерской службы города Переславля-Залесского на 2010-2012 годы"</t>
  </si>
  <si>
    <t xml:space="preserve">Приказ Управления культуры, молодежи и спорта Администрации от 30.12.2011 №72-п </t>
  </si>
  <si>
    <t xml:space="preserve">п 5.2 МЗ  </t>
  </si>
  <si>
    <t>http://adm.pereslavl.ru/Municipalnie_zadaniy/index412-1787.html</t>
  </si>
  <si>
    <t>http://adm.pereslavl.ru/Municipalnie_zadaniy/index412-1795.html</t>
  </si>
  <si>
    <t>Распоряжение Администрации г.Переславля-Залесского от 18.01.2012 №4</t>
  </si>
  <si>
    <t>http://adm.pereslavl.ru/Municipalnie_zadaniy/index412-1809.html</t>
  </si>
  <si>
    <t>http://adm.pereslavl.ru/Municipalnie_zadaniy/index412-1779.html</t>
  </si>
  <si>
    <t>Постановление от 27.02.2012 №135, с изм от23.04.2012 № 492</t>
  </si>
  <si>
    <t xml:space="preserve">Постановление Администрации г.Переславля-Залесского от 16.06.2010 №784 "Об утверждении Порядка и методики планирования и составления обоснований бюджетных ассигнований на очередной финансовый год и плановый период",Постановление Администрации от 31.12.08г.№1524Об утверждении Положения о порядке разработки, утверждения и реализации ведомственных целевых программ
</t>
  </si>
  <si>
    <t>Постановление Администрации г.Переславля-Залесского от 24.02.2010 №160 "об утверждении Порядка составления проекта бюджета городского округа г.Переславля-Залесского на очередной финансовый год (очередной год и плановый период)", Постановление Мэра г.Переславля-Залесского от 08.11.2006 №1002 ( в ред.от 01.12.2008 №1367, от 31.12.2008 №1524, от 01.04.2010 №357, от 16.06.2010 №785); №676 от 28.05.2012 г.  Об утверждении Плана-графика разработки бюджета Г.Переславля-Залесского на 2013 г. и плановый период 2014-2015 г.</t>
  </si>
  <si>
    <t>Постановление Администрации от 01.04.10г.№358"Об утверждении Положения о порядке Проведения мониторинга потребности в муниципальных услугах, формирования, ведения и обновления реестра муниципальных услуг Администрации г.Переславля-Залесского"; Постановление Администрации от 07.06.10г №705 "О мерах по созданию системы учета потребности в муниципальных услуг при формировании проекта бюджета города Переславля-Залесского на очередной финансовый год и плановый период" (с изм от 30.12.2011 №2109)</t>
  </si>
  <si>
    <t>Реализация основных общеобразовательных программ начального, основного, среднего (полного) общего образования</t>
  </si>
  <si>
    <t>Оказание социальной поддержки отдельным категориям граждан из средств бюджета г.Переславля-Залесского</t>
  </si>
  <si>
    <t>Постановление Администрации г.Переславля-Залесского от 07.06.2010 №705 «О  мерах по созданию системы учета  потребности в муниципальных услугах при формировании проекта бюджета г.Переславля-Залесского"; от 30.12.2011 № 2109 г.Переславль-Залесский "О внесении изменений в постановление Администрации г.Переславля-Залесского от 07.06.2010 № 705".</t>
  </si>
  <si>
    <t xml:space="preserve"> значение показателя №1  указан по состоянию на 01.11.2012 г.</t>
  </si>
  <si>
    <t>Размер дефицита местного бюджета (факт)</t>
  </si>
  <si>
    <t xml:space="preserve"> Значение показателя №1 будет уточнен после сдачи бухгалтерского баланса</t>
  </si>
  <si>
    <t>Программа "Жилище" на 2011-2015 годыПодпрограмма "Муниципальная поддержка граждан, проживающих на территории г.Переславля-Залесского, в сфере ипотечного жилищного кредитования"</t>
  </si>
  <si>
    <t>Программа "Жилище" на 2011-2015 годыПодпрограмма "переселение граждан их жилищного фонда г.Переславля-Залесского,признанного непригодным для проживания, и (или ) с высоким уровнем износа.</t>
  </si>
  <si>
    <t>Программа "Жилище" на 2011-2015 годыПодпрограмма " Государственная и муниципальная поддержка граждан, проживающих на территории г.Переславля-Залесского, в сфере ипотечного жилищного кредитования"</t>
  </si>
  <si>
    <t>П.2.1  Постановления Администрации №1367  от 01.12.08 г. , п.п 1.1.1, п.п. 1.1.3 Постановления Администрации №357 от 01.04.10 г.</t>
  </si>
  <si>
    <t>п. 2.3 , п. 2.2.8  Постановления Администрации № 1367 от 01.12.2008</t>
  </si>
  <si>
    <t>Приложение 1 к Постановлению Администрации №1367 от 01.12.2008,  п.п. 1.1.4  Постановления Администрации № 357 от 01.04.2010</t>
  </si>
  <si>
    <t xml:space="preserve">  http://adm.pereslavl.ru/Publichnie_sluwaniy/index67.html  </t>
  </si>
  <si>
    <t xml:space="preserve">http://adm.pereslavl.ru/Finansi/Budwet_gor_okruga/index269-2048.html </t>
  </si>
  <si>
    <t xml:space="preserve">                                              http://adm.pereslavl.ru/Finansi/Budwet_gor_okruga/index269-1181.html</t>
  </si>
  <si>
    <t>138 от 11.02.2009 (в редакции постановлений 1430 от 10.12.2009, 9 от 13.01.2010, 1877 от 28.12.2010, 1938 от 31.12.2010, 1495 от 04.10.2011, 1512 от 26.10.2012)</t>
  </si>
  <si>
    <t>1326 от 28.09.2010 (в редакции постановлений 465 от 01.04.2011, 1906 от 13.12.2011, 460 от 19.04.2012, 606 от 15.05.2012, 1511 от 25.10.2012)</t>
  </si>
  <si>
    <t>100 от 13.02.2012 (в редакции постановлений 1507 от 24.10.2012)</t>
  </si>
  <si>
    <t>431 от 28.03.2011 (в редакции постановлений 611 от 16.05.2012, 1473 от 17.10.2012)</t>
  </si>
  <si>
    <t>110 от 15.02.2012 (в редакции постановлений 1431 от 05.10.2012)</t>
  </si>
  <si>
    <t>201 от 16.02.2011 (в редакции постановлений 952 от 13.07.2012, 1055 от 03.08.2012, 1485 от 22.10.2012)</t>
  </si>
  <si>
    <t>1928 от 14.12.2011 (в редакции постановлений 863 от 29.06.2012, 1019 от 31.07.2012)</t>
  </si>
  <si>
    <t>1274 от 09.11.2009 (в редакции постановлений1350 от 19.11.2009, 1512 от 21.12.2009, 908 от 30.06.2010, 1931 от 31.12.2010, 1819 от 02.12.2011, 474 от 20.04.2012, 1823 от 21.12.2012)</t>
  </si>
  <si>
    <t>1182 от 09.08.2011 (в редакции постановлений 132 от 27.02.2012, 581 от 10.05.2012, 695 от 30.05.2012, 932 от 06.07.2012, 1562 от 02.11.2012)</t>
  </si>
  <si>
    <t>1106 от 12.10.2009 (в редакции постановлений 1411 от 09.12.2009, 320 от 15,03.2011, 439 от 28,03.2011, 1529 от 29.10.2012, 1818 от 19.12.2012)</t>
  </si>
  <si>
    <t>1113 от 12.10.2009 (в редакции постановлений 252 от 16.03.2010, 1375 от 06.10.2010, 1671 от 29.11.2010, 1908 от 30.12.2010, 543 от 18.04.2011, 2021 от 27.12.2011, 935 от 06.07.2012)</t>
  </si>
  <si>
    <t>1370 от 06.10.2010 ( в редакции постановлений 436 от 28.03.2011, 106 от 15.02.2012, 630 от 17.05.2012, 1276 от 06.09.2012)</t>
  </si>
  <si>
    <t>1431 от 10.12.2009 (в редакции постановлений 330 от 29.03.2010, 1409 от 13.10.2010, 266 от 01.03.2011, 970 от 29.06.2011, 1576 от 18.10.2011, 1922 от 14.12.2011, 56 от 01.02.2012, 620 от 16.05.2012, 852 от 27.06.2012, 1294 от 07.09.2012)</t>
  </si>
  <si>
    <t>1101 от 09.08.2010 (в редакции постановлений 673 от 05.05.2011, 292 от 26.03.2012, 862 от 29.06.2012)</t>
  </si>
  <si>
    <t>1852 от 06.12.2011 ( в редакции постановлений 599 от 14.05.2012)</t>
  </si>
  <si>
    <t>1854 от 06.12.2011 (в редакции постановлений 696 от 30.05.2012)</t>
  </si>
  <si>
    <t xml:space="preserve">Постановление Администрации г.Переславля-Залесского от 17.10.11 №1562 " О проведении публичных слушаний по проекту решения городской Думы"О бюджете городского округа г.Переславля-Залесского на 2012 год и плановый период 2013-2014 годов", от 23 октября 2012  №  1485   О проведении публичных слушаний 
по проекту  решения  городской Думы « О бюджете городского округа г. Переславля – Залесского  на 2013год и плановый период 2014 и 2015 годов»
</t>
  </si>
  <si>
    <t xml:space="preserve">  http://adm.pereslavl.ru/Publichnie_sluwaniy/index67-1600.html  </t>
  </si>
  <si>
    <t xml:space="preserve">http://adm.pereslavl.ru/Finansi/Programma_povisheniy_efektivnosti/hod_realizacii_programmi/index455.html </t>
  </si>
  <si>
    <t>Решение Переславль-Залесской городской Думы от31.03.05 №18 "Об утверждении Положения о публичных слушаньях на территории города Переславля-Залесского" (р.1, п.1.5), Решение Переславль-Залесской городской Думы от 23.06.05 г.№49 "Об утверждении Устава города Переславля-Залесского"(с изм от 15.03.2012 г)  ст.10, 21</t>
  </si>
  <si>
    <t>Решение Переславль-Залесской городской Думы от31.03.05 №18 "Об утверждении Положения о публичных слушаньях на территории города Переславля-Залесского (р.1 п.1.5) ", Решение Переславль-Залесской городской Думы от 23.06.05 г.№49 "Об утверждении Устава города Переславля-Залесского"(с изм от 15.03.2012 г) ст.10, 21</t>
  </si>
  <si>
    <t>1114 от 12.10.2009 (в редакции постановлений 332 от 29.03.2010, 1010 от 19.07.2010, 1854 от 23.12.2010, 435 от 28.03.2011, 1493 от 04.10.2011, 1642 от 03.11.2011, 2054 от 30.12.2011)</t>
  </si>
  <si>
    <t>2034 от 29.12.2011</t>
  </si>
  <si>
    <t>963 от 12.07.2010 (1700 от 11.11.2011, 949 от 12.07.2012)</t>
  </si>
  <si>
    <t>1128 от 13.10.2009 (в ред. 857 от 28.06.2012)</t>
  </si>
  <si>
    <t>1118 от 12.10.2009 (в редакции постановлений 303 от 11.03.2011, 438 от 28.03.2011, 2041 от 30.12.2011, 579 от 10.05.2012)</t>
  </si>
  <si>
    <t>1083 от 03.08.2010 (в редакции постановлений 314 от 15.03.2011, 518 от 12.04.2011, 932 от 27.06.2011, 923 от 24.06.2011, 1060 от 20.07.2011, 1471 от 30.09.2011, 1825 от 05.12.2011, 1881 от 07.12.2011, 807 от 20.06.2012, 860 от 29.06.2012)</t>
  </si>
  <si>
    <t>867 от 09.06.2011 (в редакции постановлений 1507 от 10.10.2011)</t>
  </si>
  <si>
    <t>1260 от 31.08.2011 (в редакции постановлений 2052 от 30.12.2011, 788 от 15.06.2012)</t>
  </si>
  <si>
    <t>1156 от 15.10.2009 (в редакции постановлений 310 от 14.03.2011, 620 от 03.05.2011, 1901 от 12.12.2011)</t>
  </si>
  <si>
    <t>1167 от 08.08.2011 (в редакции постановлений 697 от 30.05.2012)</t>
  </si>
  <si>
    <t>93 от 09.02.2012</t>
  </si>
  <si>
    <t>736 от 05.06.2012</t>
  </si>
  <si>
    <t>399 от 09.04.2012 (в редакции постановлений 1557 от 01.11.2012)</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</si>
</sst>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7">
    <font>
      <sz val="11"/>
      <color theme="1"/>
      <name val="Calibri"/>
      <family val="2"/>
    </font>
    <font>
      <sz val="11"/>
      <color indexed="8"/>
      <name val="Calibri"/>
      <family val="2"/>
    </font>
    <font>
      <b/>
      <sz val="8"/>
      <color indexed="47"/>
      <name val="Tahoma"/>
      <family val="2"/>
    </font>
    <font>
      <sz val="8"/>
      <color indexed="8"/>
      <name val="Tahoma"/>
      <family val="2"/>
    </font>
    <font>
      <sz val="8"/>
      <color indexed="23"/>
      <name val="Tahoma"/>
      <family val="2"/>
    </font>
    <font>
      <b/>
      <sz val="8"/>
      <name val="Tahoma"/>
      <family val="2"/>
    </font>
    <font>
      <b/>
      <sz val="8"/>
      <color indexed="8"/>
      <name val="Tahoma"/>
      <family val="2"/>
    </font>
    <font>
      <b/>
      <sz val="8"/>
      <color indexed="10"/>
      <name val="Tahoma"/>
      <family val="2"/>
    </font>
    <font>
      <sz val="8"/>
      <color indexed="60"/>
      <name val="Tahoma"/>
      <family val="2"/>
    </font>
    <font>
      <b/>
      <sz val="8"/>
      <color indexed="23"/>
      <name val="Tahoma"/>
      <family val="2"/>
    </font>
    <font>
      <b/>
      <sz val="12"/>
      <color indexed="47"/>
      <name val="Tahoma"/>
      <family val="2"/>
    </font>
    <font>
      <sz val="8"/>
      <color indexed="10"/>
      <name val="Tahoma"/>
      <family val="2"/>
    </font>
    <font>
      <sz val="8"/>
      <name val="Tahoma"/>
      <family val="2"/>
    </font>
    <font>
      <sz val="8"/>
      <color indexed="8"/>
      <name val="Calibri"/>
      <family val="2"/>
    </font>
    <font>
      <b/>
      <sz val="18"/>
      <color indexed="47"/>
      <name val="Tahoma"/>
      <family val="2"/>
    </font>
    <font>
      <sz val="8"/>
      <color indexed="47"/>
      <name val="Tahoma"/>
      <family val="2"/>
    </font>
    <font>
      <b/>
      <sz val="22"/>
      <color indexed="47"/>
      <name val="Tahoma"/>
      <family val="2"/>
    </font>
    <font>
      <b/>
      <sz val="8"/>
      <color indexed="9"/>
      <name val="Tahoma"/>
      <family val="2"/>
    </font>
    <font>
      <sz val="11"/>
      <color indexed="8"/>
      <name val="Tahoma"/>
      <family val="2"/>
    </font>
    <font>
      <i/>
      <sz val="8"/>
      <color indexed="8"/>
      <name val="Tahoma"/>
      <family val="2"/>
    </font>
    <font>
      <b/>
      <i/>
      <sz val="8"/>
      <color indexed="10"/>
      <name val="Tahoma"/>
      <family val="2"/>
    </font>
    <font>
      <b/>
      <sz val="10"/>
      <color indexed="9"/>
      <name val="Tahoma"/>
      <family val="2"/>
    </font>
    <font>
      <u val="single"/>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23"/>
        <bgColor indexed="64"/>
      </patternFill>
    </fill>
    <fill>
      <patternFill patternType="solid">
        <fgColor indexed="12"/>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medium">
        <color indexed="55"/>
      </left>
      <right style="medium">
        <color indexed="55"/>
      </right>
      <top style="medium">
        <color indexed="55"/>
      </top>
      <bottom style="medium">
        <color indexed="55"/>
      </bottom>
    </border>
    <border>
      <left style="thin">
        <color indexed="55"/>
      </left>
      <right/>
      <top style="thin">
        <color indexed="55"/>
      </top>
      <bottom style="thin">
        <color indexed="55"/>
      </bottom>
    </border>
    <border>
      <left style="thin">
        <color indexed="55"/>
      </left>
      <right style="thin">
        <color indexed="55"/>
      </right>
      <top/>
      <bottom style="thin">
        <color indexed="55"/>
      </bottom>
    </border>
    <border>
      <left/>
      <right style="thin"/>
      <top style="thin">
        <color indexed="55"/>
      </top>
      <bottom style="thin">
        <color indexed="55"/>
      </bottom>
    </border>
    <border>
      <left style="thin">
        <color indexed="55"/>
      </left>
      <right style="thin"/>
      <top style="thin">
        <color indexed="55"/>
      </top>
      <bottom style="thin">
        <color indexed="55"/>
      </bottom>
    </border>
    <border>
      <left style="medium">
        <color indexed="55"/>
      </left>
      <right style="thin"/>
      <top style="medium">
        <color indexed="55"/>
      </top>
      <bottom style="medium">
        <color indexed="55"/>
      </bottom>
    </border>
    <border>
      <left style="thin">
        <color indexed="55"/>
      </left>
      <right style="thin"/>
      <top style="thin"/>
      <bottom style="thin">
        <color indexed="55"/>
      </bottom>
    </border>
    <border>
      <left style="thin">
        <color indexed="55"/>
      </left>
      <right style="thin">
        <color indexed="55"/>
      </right>
      <top style="thin">
        <color indexed="55"/>
      </top>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55"/>
      </left>
      <right/>
      <top style="thin">
        <color indexed="55"/>
      </top>
      <bottom/>
    </border>
    <border>
      <left/>
      <right/>
      <top style="thin">
        <color indexed="55"/>
      </top>
      <bottom style="thin">
        <color indexed="55"/>
      </bottom>
    </border>
    <border>
      <left/>
      <right/>
      <top style="thin">
        <color indexed="55"/>
      </top>
      <bottom/>
    </border>
    <border>
      <left/>
      <right/>
      <top/>
      <bottom style="medium">
        <color indexed="23"/>
      </bottom>
    </border>
    <border>
      <left/>
      <right style="thin">
        <color indexed="55"/>
      </right>
      <top style="thin">
        <color indexed="55"/>
      </top>
      <bottom/>
    </border>
    <border>
      <left style="thin">
        <color indexed="55"/>
      </left>
      <right/>
      <top/>
      <bottom style="thin">
        <color indexed="55"/>
      </bottom>
    </border>
    <border>
      <left/>
      <right style="thin">
        <color indexed="55"/>
      </right>
      <top/>
      <bottom style="thin">
        <color indexed="55"/>
      </bottom>
    </border>
    <border>
      <left style="thin">
        <color indexed="55"/>
      </left>
      <right/>
      <top/>
      <bottom style="thin">
        <color indexed="23"/>
      </bottom>
    </border>
    <border>
      <left/>
      <right/>
      <top/>
      <bottom style="thin">
        <color indexed="23"/>
      </bottom>
    </border>
    <border>
      <left/>
      <right style="thin">
        <color indexed="55"/>
      </right>
      <top/>
      <bottom style="thin">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thin"/>
      <top style="thin">
        <color indexed="55"/>
      </top>
      <bottom/>
    </border>
    <border>
      <left style="thin"/>
      <right/>
      <top style="thin">
        <color indexed="55"/>
      </top>
      <bottom style="thin">
        <color indexed="55"/>
      </bottom>
    </border>
    <border>
      <left/>
      <right/>
      <top style="medium">
        <color indexed="23"/>
      </top>
      <bottom style="thin">
        <color indexed="55"/>
      </bottom>
    </border>
    <border>
      <left style="thin">
        <color indexed="55"/>
      </left>
      <right/>
      <top style="thin">
        <color indexed="55"/>
      </top>
      <bottom style="medium">
        <color indexed="55"/>
      </bottom>
    </border>
    <border>
      <left/>
      <right/>
      <top style="thin">
        <color indexed="55"/>
      </top>
      <bottom style="medium">
        <color indexed="55"/>
      </bottom>
    </border>
    <border>
      <left/>
      <right style="thin">
        <color indexed="55"/>
      </right>
      <top style="thin">
        <color indexed="55"/>
      </top>
      <bottom style="medium">
        <color indexed="55"/>
      </bottom>
    </border>
    <border>
      <left style="thin"/>
      <right/>
      <top/>
      <bottom/>
    </border>
    <border>
      <left/>
      <right style="thin">
        <color indexed="55"/>
      </right>
      <top/>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lignment/>
      <protection/>
    </xf>
    <xf numFmtId="0" fontId="52" fillId="29" borderId="0" applyNumberFormat="0" applyBorder="0" applyAlignment="0" applyProtection="0"/>
    <xf numFmtId="0" fontId="5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3"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6" fillId="31" borderId="0" applyNumberFormat="0" applyBorder="0" applyAlignment="0" applyProtection="0"/>
  </cellStyleXfs>
  <cellXfs count="209">
    <xf numFmtId="0" fontId="0" fillId="0" borderId="0" xfId="0" applyFont="1" applyAlignment="1">
      <alignment/>
    </xf>
    <xf numFmtId="0" fontId="3" fillId="0" borderId="0" xfId="0" applyFont="1" applyAlignment="1" applyProtection="1">
      <alignment/>
      <protection/>
    </xf>
    <xf numFmtId="0" fontId="3" fillId="0" borderId="0" xfId="0" applyFont="1" applyBorder="1" applyAlignment="1" applyProtection="1">
      <alignment/>
      <protection/>
    </xf>
    <xf numFmtId="3" fontId="6" fillId="0" borderId="10" xfId="0" applyNumberFormat="1" applyFont="1" applyBorder="1" applyAlignment="1" applyProtection="1">
      <alignment horizontal="center" vertical="center"/>
      <protection/>
    </xf>
    <xf numFmtId="0" fontId="3" fillId="0" borderId="0" xfId="0" applyFont="1" applyAlignment="1" applyProtection="1">
      <alignment vertical="top"/>
      <protection/>
    </xf>
    <xf numFmtId="0" fontId="3" fillId="0" borderId="0" xfId="0" applyFont="1" applyAlignment="1" applyProtection="1">
      <alignment/>
      <protection/>
    </xf>
    <xf numFmtId="0" fontId="3" fillId="32" borderId="11" xfId="0" applyFont="1" applyFill="1" applyBorder="1" applyAlignment="1" applyProtection="1">
      <alignment horizontal="left" vertical="center" wrapText="1"/>
      <protection locked="0"/>
    </xf>
    <xf numFmtId="164" fontId="17" fillId="33" borderId="12" xfId="0" applyNumberFormat="1" applyFont="1" applyFill="1" applyBorder="1" applyAlignment="1" applyProtection="1">
      <alignment horizontal="center" vertical="center"/>
      <protection/>
    </xf>
    <xf numFmtId="166" fontId="19" fillId="32" borderId="11" xfId="0" applyNumberFormat="1" applyFont="1" applyFill="1" applyBorder="1" applyAlignment="1" applyProtection="1">
      <alignment horizontal="center" vertical="center" wrapText="1"/>
      <protection locked="0"/>
    </xf>
    <xf numFmtId="10" fontId="17" fillId="33" borderId="12" xfId="0" applyNumberFormat="1" applyFont="1" applyFill="1" applyBorder="1" applyAlignment="1" applyProtection="1">
      <alignment horizontal="center" vertical="center"/>
      <protection/>
    </xf>
    <xf numFmtId="164" fontId="19" fillId="0" borderId="11" xfId="57" applyNumberFormat="1" applyFont="1" applyFill="1" applyBorder="1" applyAlignment="1" applyProtection="1">
      <alignment horizontal="center" vertical="center" wrapText="1"/>
      <protection/>
    </xf>
    <xf numFmtId="10" fontId="19" fillId="0" borderId="11" xfId="57" applyNumberFormat="1" applyFont="1" applyFill="1" applyBorder="1" applyAlignment="1" applyProtection="1">
      <alignment horizontal="center" vertical="center" wrapText="1"/>
      <protection/>
    </xf>
    <xf numFmtId="3" fontId="0" fillId="0" borderId="11" xfId="0" applyNumberFormat="1" applyFont="1" applyFill="1" applyBorder="1" applyAlignment="1" applyProtection="1">
      <alignment horizontal="center" vertical="center"/>
      <protection/>
    </xf>
    <xf numFmtId="166" fontId="19" fillId="0" borderId="0" xfId="0" applyNumberFormat="1" applyFont="1" applyFill="1" applyBorder="1" applyAlignment="1" applyProtection="1">
      <alignment horizontal="center" vertical="center" wrapText="1"/>
      <protection locked="0"/>
    </xf>
    <xf numFmtId="1" fontId="21" fillId="33" borderId="12" xfId="0" applyNumberFormat="1" applyFont="1" applyFill="1" applyBorder="1" applyAlignment="1" applyProtection="1">
      <alignment horizontal="center" vertical="center"/>
      <protection/>
    </xf>
    <xf numFmtId="3" fontId="0" fillId="0" borderId="11" xfId="0" applyNumberFormat="1" applyFont="1" applyBorder="1" applyAlignment="1" applyProtection="1">
      <alignment horizontal="center" vertical="center"/>
      <protection/>
    </xf>
    <xf numFmtId="49" fontId="3" fillId="32" borderId="13" xfId="0" applyNumberFormat="1" applyFont="1" applyFill="1" applyBorder="1" applyAlignment="1" applyProtection="1">
      <alignment horizontal="center" vertical="center"/>
      <protection locked="0"/>
    </xf>
    <xf numFmtId="0" fontId="3" fillId="0" borderId="0" xfId="0" applyFont="1" applyAlignment="1" applyProtection="1">
      <alignment/>
      <protection locked="0"/>
    </xf>
    <xf numFmtId="0" fontId="17" fillId="34" borderId="0" xfId="0" applyFont="1" applyFill="1" applyAlignment="1" applyProtection="1">
      <alignment vertical="center" wrapText="1"/>
      <protection locked="0"/>
    </xf>
    <xf numFmtId="3" fontId="6" fillId="0" borderId="11" xfId="0" applyNumberFormat="1" applyFont="1" applyBorder="1" applyAlignment="1" applyProtection="1">
      <alignment horizontal="center" vertical="center"/>
      <protection/>
    </xf>
    <xf numFmtId="0" fontId="3" fillId="32" borderId="10"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3" fillId="0" borderId="0" xfId="0" applyFont="1" applyAlignment="1" applyProtection="1">
      <alignment/>
      <protection locked="0"/>
    </xf>
    <xf numFmtId="3" fontId="6" fillId="0" borderId="14" xfId="0" applyNumberFormat="1" applyFont="1" applyBorder="1" applyAlignment="1" applyProtection="1">
      <alignment horizontal="center" vertical="center"/>
      <protection/>
    </xf>
    <xf numFmtId="0" fontId="3" fillId="32" borderId="15" xfId="0" applyFont="1" applyFill="1" applyBorder="1" applyAlignment="1" applyProtection="1">
      <alignment horizontal="left" vertical="center" wrapText="1"/>
      <protection locked="0"/>
    </xf>
    <xf numFmtId="3" fontId="6" fillId="0" borderId="16" xfId="0" applyNumberFormat="1" applyFont="1" applyBorder="1" applyAlignment="1" applyProtection="1">
      <alignment horizontal="center" vertical="center"/>
      <protection/>
    </xf>
    <xf numFmtId="164" fontId="17" fillId="33" borderId="17" xfId="0" applyNumberFormat="1" applyFont="1" applyFill="1" applyBorder="1" applyAlignment="1" applyProtection="1">
      <alignment horizontal="center" vertical="center"/>
      <protection/>
    </xf>
    <xf numFmtId="3" fontId="6" fillId="0" borderId="18" xfId="0" applyNumberFormat="1" applyFont="1" applyBorder="1" applyAlignment="1" applyProtection="1">
      <alignment horizontal="center" vertical="center"/>
      <protection/>
    </xf>
    <xf numFmtId="164" fontId="6" fillId="0" borderId="11" xfId="0" applyNumberFormat="1" applyFont="1" applyBorder="1" applyAlignment="1" applyProtection="1">
      <alignment horizontal="center" vertical="center"/>
      <protection/>
    </xf>
    <xf numFmtId="3" fontId="19" fillId="32" borderId="11" xfId="0" applyNumberFormat="1" applyFont="1" applyFill="1" applyBorder="1" applyAlignment="1" applyProtection="1">
      <alignment horizontal="center" vertical="center" wrapText="1"/>
      <protection locked="0"/>
    </xf>
    <xf numFmtId="0" fontId="17" fillId="0" borderId="0" xfId="0" applyFont="1" applyFill="1" applyAlignment="1" applyProtection="1">
      <alignment vertical="center" wrapText="1"/>
      <protection locked="0"/>
    </xf>
    <xf numFmtId="0" fontId="3" fillId="32" borderId="19" xfId="0" applyFont="1" applyFill="1" applyBorder="1" applyAlignment="1" applyProtection="1">
      <alignment horizontal="left" vertical="center" wrapText="1"/>
      <protection locked="0"/>
    </xf>
    <xf numFmtId="0" fontId="3" fillId="0" borderId="13" xfId="0" applyFont="1" applyBorder="1" applyAlignment="1" applyProtection="1">
      <alignment horizontal="center" vertical="center"/>
      <protection locked="0"/>
    </xf>
    <xf numFmtId="0" fontId="3" fillId="0" borderId="10" xfId="0" applyFont="1" applyBorder="1" applyAlignment="1" applyProtection="1">
      <alignment vertical="center" wrapText="1"/>
      <protection locked="0"/>
    </xf>
    <xf numFmtId="0" fontId="12" fillId="0" borderId="20" xfId="53" applyFont="1" applyBorder="1" applyAlignment="1" applyProtection="1">
      <alignment horizontal="center" vertical="center"/>
      <protection locked="0"/>
    </xf>
    <xf numFmtId="9" fontId="12" fillId="0" borderId="21" xfId="58" applyFont="1" applyFill="1" applyBorder="1" applyAlignment="1" applyProtection="1">
      <alignment horizontal="right" vertical="center"/>
      <protection locked="0"/>
    </xf>
    <xf numFmtId="0" fontId="12" fillId="0" borderId="22" xfId="53" applyFont="1" applyBorder="1" applyAlignment="1" applyProtection="1">
      <alignment horizontal="center" vertical="center"/>
      <protection locked="0"/>
    </xf>
    <xf numFmtId="9" fontId="12" fillId="0" borderId="23" xfId="53" applyNumberFormat="1" applyFont="1" applyBorder="1" applyAlignment="1" applyProtection="1">
      <alignment horizontal="left" vertical="center"/>
      <protection locked="0"/>
    </xf>
    <xf numFmtId="0" fontId="12" fillId="0" borderId="22" xfId="53" applyFont="1" applyFill="1" applyBorder="1" applyAlignment="1" applyProtection="1">
      <alignment horizontal="center" vertical="center"/>
      <protection locked="0"/>
    </xf>
    <xf numFmtId="9" fontId="12" fillId="0" borderId="23" xfId="53" applyNumberFormat="1" applyFont="1" applyFill="1" applyBorder="1" applyAlignment="1" applyProtection="1">
      <alignment horizontal="left" vertical="center"/>
      <protection locked="0"/>
    </xf>
    <xf numFmtId="9" fontId="12" fillId="0" borderId="20" xfId="53" applyNumberFormat="1" applyFont="1" applyBorder="1" applyAlignment="1" applyProtection="1">
      <alignment horizontal="center" vertical="center"/>
      <protection locked="0"/>
    </xf>
    <xf numFmtId="10" fontId="12" fillId="0" borderId="21" xfId="58" applyNumberFormat="1" applyFont="1" applyFill="1" applyBorder="1" applyAlignment="1" applyProtection="1">
      <alignment horizontal="right" vertical="center"/>
      <protection locked="0"/>
    </xf>
    <xf numFmtId="164" fontId="12" fillId="0" borderId="21" xfId="58" applyNumberFormat="1" applyFont="1" applyFill="1" applyBorder="1" applyAlignment="1" applyProtection="1">
      <alignment horizontal="right" vertical="center"/>
      <protection locked="0"/>
    </xf>
    <xf numFmtId="10" fontId="12" fillId="0" borderId="23" xfId="53" applyNumberFormat="1" applyFont="1" applyBorder="1" applyAlignment="1" applyProtection="1">
      <alignment horizontal="left" vertical="center"/>
      <protection locked="0"/>
    </xf>
    <xf numFmtId="164" fontId="12" fillId="0" borderId="23" xfId="53" applyNumberFormat="1" applyFont="1" applyBorder="1" applyAlignment="1" applyProtection="1">
      <alignment horizontal="left" vertical="center"/>
      <protection locked="0"/>
    </xf>
    <xf numFmtId="9" fontId="12" fillId="0" borderId="20" xfId="53" applyNumberFormat="1" applyFont="1" applyFill="1" applyBorder="1" applyAlignment="1" applyProtection="1">
      <alignment horizontal="center" vertical="center"/>
      <protection locked="0"/>
    </xf>
    <xf numFmtId="0" fontId="6" fillId="0" borderId="24" xfId="53" applyFont="1" applyBorder="1" applyAlignment="1" applyProtection="1">
      <alignment horizontal="center" vertical="center"/>
      <protection locked="0"/>
    </xf>
    <xf numFmtId="0" fontId="6" fillId="0" borderId="25" xfId="53" applyFont="1" applyBorder="1" applyAlignment="1" applyProtection="1">
      <alignment horizontal="left" vertical="center"/>
      <protection locked="0"/>
    </xf>
    <xf numFmtId="0" fontId="3" fillId="0" borderId="26" xfId="53" applyFont="1" applyBorder="1" applyAlignment="1" applyProtection="1">
      <alignment horizontal="center" vertical="center"/>
      <protection locked="0"/>
    </xf>
    <xf numFmtId="0" fontId="3" fillId="0" borderId="10" xfId="0" applyFont="1" applyBorder="1" applyAlignment="1" applyProtection="1">
      <alignment horizontal="right" vertical="center"/>
      <protection locked="0"/>
    </xf>
    <xf numFmtId="0" fontId="6" fillId="0" borderId="0" xfId="53" applyFont="1" applyBorder="1" applyAlignment="1" applyProtection="1">
      <alignment horizontal="left" vertical="center"/>
      <protection locked="0"/>
    </xf>
    <xf numFmtId="165" fontId="12" fillId="0" borderId="21" xfId="57" applyNumberFormat="1" applyFont="1" applyFill="1" applyBorder="1" applyAlignment="1" applyProtection="1">
      <alignment horizontal="right" vertical="center"/>
      <protection locked="0"/>
    </xf>
    <xf numFmtId="9" fontId="12" fillId="0" borderId="22" xfId="57" applyFont="1" applyBorder="1" applyAlignment="1" applyProtection="1">
      <alignment horizontal="center" vertical="center"/>
      <protection locked="0"/>
    </xf>
    <xf numFmtId="165" fontId="12" fillId="0" borderId="23" xfId="57" applyNumberFormat="1" applyFont="1" applyBorder="1" applyAlignment="1" applyProtection="1">
      <alignment horizontal="left" vertical="center"/>
      <protection locked="0"/>
    </xf>
    <xf numFmtId="0" fontId="2" fillId="0" borderId="0" xfId="53" applyFont="1" applyAlignment="1" applyProtection="1">
      <alignment horizontal="center" vertical="center"/>
      <protection locked="0"/>
    </xf>
    <xf numFmtId="0" fontId="4" fillId="0" borderId="0" xfId="53" applyFont="1" applyAlignment="1" applyProtection="1">
      <alignment vertical="top"/>
      <protection locked="0"/>
    </xf>
    <xf numFmtId="0" fontId="3" fillId="0" borderId="0" xfId="0" applyFont="1" applyAlignment="1" applyProtection="1">
      <alignment/>
      <protection locked="0"/>
    </xf>
    <xf numFmtId="0" fontId="3" fillId="0" borderId="0" xfId="0" applyFont="1" applyAlignment="1" applyProtection="1">
      <alignment horizontal="left" wrapText="1"/>
      <protection locked="0"/>
    </xf>
    <xf numFmtId="0" fontId="5" fillId="0" borderId="27" xfId="0" applyFont="1" applyBorder="1" applyAlignment="1" applyProtection="1">
      <alignment vertical="top"/>
      <protection locked="0"/>
    </xf>
    <xf numFmtId="0" fontId="6" fillId="0" borderId="27" xfId="0" applyFont="1" applyBorder="1" applyAlignment="1" applyProtection="1">
      <alignment vertical="top"/>
      <protection locked="0"/>
    </xf>
    <xf numFmtId="0" fontId="3" fillId="0" borderId="27" xfId="0" applyFont="1" applyBorder="1" applyAlignment="1" applyProtection="1">
      <alignment/>
      <protection locked="0"/>
    </xf>
    <xf numFmtId="0" fontId="7" fillId="0" borderId="27" xfId="0" applyFont="1" applyBorder="1" applyAlignment="1" applyProtection="1">
      <alignment vertical="top"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right" vertical="center"/>
      <protection locked="0"/>
    </xf>
    <xf numFmtId="0" fontId="7" fillId="0" borderId="0" xfId="0" applyFont="1" applyBorder="1" applyAlignment="1" applyProtection="1">
      <alignment wrapText="1"/>
      <protection locked="0"/>
    </xf>
    <xf numFmtId="0" fontId="3" fillId="0" borderId="0" xfId="0" applyFont="1" applyBorder="1" applyAlignment="1" applyProtection="1">
      <alignment/>
      <protection locked="0"/>
    </xf>
    <xf numFmtId="0" fontId="6" fillId="35" borderId="24" xfId="0" applyFont="1" applyFill="1" applyBorder="1" applyAlignment="1" applyProtection="1">
      <alignment horizontal="center" vertical="center" wrapText="1"/>
      <protection locked="0"/>
    </xf>
    <xf numFmtId="0" fontId="6" fillId="35" borderId="28" xfId="0" applyFont="1" applyFill="1" applyBorder="1" applyAlignment="1" applyProtection="1">
      <alignment horizontal="left" vertical="center" wrapText="1"/>
      <protection locked="0"/>
    </xf>
    <xf numFmtId="0" fontId="6" fillId="35" borderId="24" xfId="0" applyFont="1" applyFill="1" applyBorder="1" applyAlignment="1" applyProtection="1">
      <alignment horizontal="centerContinuous" vertical="center" wrapText="1"/>
      <protection locked="0"/>
    </xf>
    <xf numFmtId="0" fontId="6" fillId="35" borderId="26" xfId="0" applyFont="1" applyFill="1" applyBorder="1" applyAlignment="1" applyProtection="1">
      <alignment horizontal="centerContinuous" vertical="center" wrapText="1"/>
      <protection locked="0"/>
    </xf>
    <xf numFmtId="0" fontId="3" fillId="0" borderId="0" xfId="0" applyFont="1" applyAlignment="1" applyProtection="1">
      <alignment wrapText="1"/>
      <protection locked="0"/>
    </xf>
    <xf numFmtId="0" fontId="3" fillId="35" borderId="29" xfId="0" applyFont="1" applyFill="1" applyBorder="1" applyAlignment="1" applyProtection="1">
      <alignment horizontal="center"/>
      <protection locked="0"/>
    </xf>
    <xf numFmtId="0" fontId="3" fillId="35" borderId="30" xfId="0" applyFont="1" applyFill="1" applyBorder="1" applyAlignment="1" applyProtection="1">
      <alignment horizontal="center"/>
      <protection locked="0"/>
    </xf>
    <xf numFmtId="0" fontId="3" fillId="35" borderId="14" xfId="0" applyFont="1" applyFill="1" applyBorder="1" applyAlignment="1" applyProtection="1">
      <alignment horizontal="center"/>
      <protection locked="0"/>
    </xf>
    <xf numFmtId="0" fontId="3" fillId="35" borderId="31" xfId="0" applyFont="1" applyFill="1" applyBorder="1" applyAlignment="1" applyProtection="1">
      <alignment horizontal="centerContinuous"/>
      <protection locked="0"/>
    </xf>
    <xf numFmtId="0" fontId="3" fillId="35" borderId="32" xfId="0" applyFont="1" applyFill="1" applyBorder="1" applyAlignment="1" applyProtection="1">
      <alignment horizontal="centerContinuous"/>
      <protection locked="0"/>
    </xf>
    <xf numFmtId="0" fontId="3" fillId="35" borderId="33" xfId="0" applyFont="1" applyFill="1" applyBorder="1" applyAlignment="1" applyProtection="1">
      <alignment horizontal="centerContinuous"/>
      <protection locked="0"/>
    </xf>
    <xf numFmtId="0" fontId="3" fillId="35" borderId="31" xfId="0" applyFont="1" applyFill="1" applyBorder="1" applyAlignment="1" applyProtection="1">
      <alignment horizontal="center"/>
      <protection locked="0"/>
    </xf>
    <xf numFmtId="0" fontId="3" fillId="0" borderId="0" xfId="53" applyFont="1" applyProtection="1">
      <alignment/>
      <protection locked="0"/>
    </xf>
    <xf numFmtId="0" fontId="11" fillId="0" borderId="0" xfId="53" applyFont="1" applyFill="1" applyAlignment="1" applyProtection="1">
      <alignment horizontal="left" vertical="center" wrapText="1"/>
      <protection locked="0"/>
    </xf>
    <xf numFmtId="9" fontId="11" fillId="0" borderId="0" xfId="57" applyFont="1" applyAlignment="1" applyProtection="1">
      <alignment horizontal="center" vertical="center" wrapText="1"/>
      <protection locked="0"/>
    </xf>
    <xf numFmtId="0" fontId="3" fillId="0" borderId="34" xfId="0" applyFont="1" applyBorder="1" applyAlignment="1" applyProtection="1">
      <alignment horizontal="center" vertical="center"/>
      <protection locked="0"/>
    </xf>
    <xf numFmtId="0" fontId="6" fillId="0" borderId="35" xfId="0" applyFont="1" applyBorder="1" applyAlignment="1" applyProtection="1">
      <alignment horizontal="right" vertical="center" wrapText="1"/>
      <protection locked="0"/>
    </xf>
    <xf numFmtId="0" fontId="3" fillId="0" borderId="35" xfId="0" applyFont="1" applyBorder="1" applyAlignment="1" applyProtection="1">
      <alignment horizontal="center" vertical="center"/>
      <protection locked="0"/>
    </xf>
    <xf numFmtId="0" fontId="9" fillId="0" borderId="0" xfId="0" applyFont="1" applyBorder="1" applyAlignment="1" applyProtection="1">
      <alignment horizontal="left"/>
      <protection locked="0"/>
    </xf>
    <xf numFmtId="0" fontId="6" fillId="0" borderId="0" xfId="0" applyFont="1" applyBorder="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top"/>
      <protection locked="0"/>
    </xf>
    <xf numFmtId="0" fontId="15" fillId="0" borderId="0" xfId="53" applyFont="1" applyAlignment="1" applyProtection="1">
      <alignment horizontal="center" vertical="center"/>
      <protection locked="0"/>
    </xf>
    <xf numFmtId="0" fontId="3" fillId="0" borderId="0" xfId="53" applyFont="1" applyAlignment="1" applyProtection="1">
      <alignment wrapText="1"/>
      <protection locked="0"/>
    </xf>
    <xf numFmtId="0" fontId="18" fillId="0" borderId="0" xfId="0" applyFont="1" applyAlignment="1" applyProtection="1">
      <alignment/>
      <protection locked="0"/>
    </xf>
    <xf numFmtId="0" fontId="16" fillId="0" borderId="0" xfId="0" applyFont="1" applyBorder="1" applyAlignment="1" applyProtection="1">
      <alignment horizontal="center" vertical="center"/>
      <protection locked="0"/>
    </xf>
    <xf numFmtId="0" fontId="3" fillId="0" borderId="0" xfId="53" applyFont="1" applyBorder="1" applyProtection="1">
      <alignment/>
      <protection locked="0"/>
    </xf>
    <xf numFmtId="0" fontId="8" fillId="0" borderId="0" xfId="53" applyFont="1" applyBorder="1" applyAlignment="1" applyProtection="1">
      <alignment horizontal="left" vertical="center"/>
      <protection locked="0"/>
    </xf>
    <xf numFmtId="0" fontId="8" fillId="0" borderId="0" xfId="53" applyFont="1" applyBorder="1" applyAlignment="1" applyProtection="1">
      <alignment horizontal="left" vertical="center" wrapText="1"/>
      <protection locked="0"/>
    </xf>
    <xf numFmtId="0" fontId="18" fillId="0" borderId="0" xfId="0" applyFont="1" applyBorder="1" applyAlignment="1" applyProtection="1">
      <alignment/>
      <protection locked="0"/>
    </xf>
    <xf numFmtId="0" fontId="10" fillId="0" borderId="0" xfId="0" applyFont="1" applyAlignment="1" applyProtection="1">
      <alignment horizontal="center" vertical="center"/>
      <protection locked="0"/>
    </xf>
    <xf numFmtId="0" fontId="6" fillId="35" borderId="13"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left" vertical="center" wrapText="1"/>
      <protection locked="0"/>
    </xf>
    <xf numFmtId="0" fontId="6" fillId="35" borderId="19" xfId="0"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8" fillId="0" borderId="0" xfId="0" applyFont="1" applyAlignment="1" applyProtection="1">
      <alignment wrapText="1"/>
      <protection locked="0"/>
    </xf>
    <xf numFmtId="0" fontId="15" fillId="0" borderId="0" xfId="0" applyFont="1" applyAlignment="1" applyProtection="1">
      <alignment horizontal="center" vertical="center"/>
      <protection locked="0"/>
    </xf>
    <xf numFmtId="0" fontId="7" fillId="0" borderId="27" xfId="0" applyFont="1" applyBorder="1" applyAlignment="1" applyProtection="1">
      <alignment vertical="top"/>
      <protection locked="0"/>
    </xf>
    <xf numFmtId="0" fontId="3" fillId="0" borderId="0" xfId="0" applyFont="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wrapText="1"/>
      <protection locked="0"/>
    </xf>
    <xf numFmtId="0" fontId="3" fillId="0" borderId="0" xfId="0" applyFont="1" applyAlignment="1" applyProtection="1">
      <alignment vertical="top" wrapText="1"/>
      <protection locked="0"/>
    </xf>
    <xf numFmtId="0" fontId="9" fillId="0" borderId="13" xfId="0" applyNumberFormat="1" applyFont="1" applyFill="1" applyBorder="1" applyAlignment="1" applyProtection="1">
      <alignment horizontal="center" vertical="center"/>
      <protection locked="0"/>
    </xf>
    <xf numFmtId="0" fontId="9" fillId="0" borderId="10" xfId="0" applyNumberFormat="1" applyFont="1" applyFill="1" applyBorder="1" applyAlignment="1" applyProtection="1">
      <alignment horizontal="center" vertical="center"/>
      <protection locked="0"/>
    </xf>
    <xf numFmtId="0" fontId="9" fillId="0" borderId="11" xfId="0" applyNumberFormat="1" applyFont="1" applyFill="1" applyBorder="1" applyAlignment="1" applyProtection="1">
      <alignment horizontal="center" vertical="center"/>
      <protection locked="0"/>
    </xf>
    <xf numFmtId="166" fontId="6" fillId="0" borderId="10" xfId="0" applyNumberFormat="1" applyFont="1" applyBorder="1" applyAlignment="1" applyProtection="1">
      <alignment horizontal="center" vertical="center" wrapText="1"/>
      <protection locked="0"/>
    </xf>
    <xf numFmtId="0" fontId="6" fillId="35" borderId="28" xfId="0" applyFont="1" applyFill="1" applyBorder="1" applyAlignment="1" applyProtection="1">
      <alignment horizontal="centerContinuous" vertical="center" wrapText="1"/>
      <protection locked="0"/>
    </xf>
    <xf numFmtId="0" fontId="6" fillId="35" borderId="28" xfId="0" applyFont="1" applyFill="1" applyBorder="1" applyAlignment="1" applyProtection="1">
      <alignment horizontal="center" vertical="center" wrapText="1"/>
      <protection locked="0"/>
    </xf>
    <xf numFmtId="0" fontId="3" fillId="35" borderId="14" xfId="0" applyFont="1" applyFill="1" applyBorder="1" applyAlignment="1" applyProtection="1">
      <alignment horizontal="center" wrapText="1"/>
      <protection locked="0"/>
    </xf>
    <xf numFmtId="0" fontId="3" fillId="35" borderId="30" xfId="0" applyFont="1" applyFill="1" applyBorder="1" applyAlignment="1" applyProtection="1">
      <alignment horizontal="center" vertical="top" wrapText="1"/>
      <protection locked="0"/>
    </xf>
    <xf numFmtId="49" fontId="3" fillId="0" borderId="13" xfId="0" applyNumberFormat="1" applyFont="1" applyBorder="1" applyAlignment="1" applyProtection="1">
      <alignment horizontal="center" vertical="center"/>
      <protection locked="0"/>
    </xf>
    <xf numFmtId="0" fontId="3" fillId="0" borderId="25" xfId="0" applyFont="1" applyBorder="1" applyAlignment="1" applyProtection="1">
      <alignment horizontal="right" vertical="center" wrapText="1"/>
      <protection locked="0"/>
    </xf>
    <xf numFmtId="0" fontId="3" fillId="0" borderId="25"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7" fillId="0" borderId="0" xfId="53" applyFont="1" applyFill="1" applyAlignment="1" applyProtection="1">
      <alignment horizontal="left" vertical="center" wrapText="1"/>
      <protection locked="0"/>
    </xf>
    <xf numFmtId="49" fontId="3" fillId="0" borderId="34" xfId="0" applyNumberFormat="1"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5" fillId="0" borderId="0" xfId="0" applyFont="1" applyAlignment="1" applyProtection="1">
      <alignment horizontal="center" vertical="top"/>
      <protection locked="0"/>
    </xf>
    <xf numFmtId="0" fontId="3" fillId="0" borderId="0" xfId="0" applyFont="1" applyAlignment="1" applyProtection="1">
      <alignment vertical="top"/>
      <protection locked="0"/>
    </xf>
    <xf numFmtId="0" fontId="6" fillId="0" borderId="0" xfId="0" applyFont="1" applyBorder="1" applyAlignment="1" applyProtection="1">
      <alignment horizontal="left" vertical="top" wrapText="1"/>
      <protection locked="0"/>
    </xf>
    <xf numFmtId="0" fontId="6" fillId="35" borderId="15" xfId="0" applyFont="1" applyFill="1" applyBorder="1" applyAlignment="1" applyProtection="1">
      <alignment horizontal="left" vertical="center" wrapText="1"/>
      <protection locked="0"/>
    </xf>
    <xf numFmtId="49" fontId="6" fillId="0" borderId="24" xfId="0" applyNumberFormat="1" applyFont="1" applyBorder="1" applyAlignment="1" applyProtection="1">
      <alignment horizontal="center" vertical="center"/>
      <protection locked="0"/>
    </xf>
    <xf numFmtId="0" fontId="6" fillId="0" borderId="15" xfId="0" applyFont="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2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3" fontId="6" fillId="0" borderId="0" xfId="0" applyNumberFormat="1" applyFont="1" applyBorder="1" applyAlignment="1" applyProtection="1">
      <alignment horizontal="center" vertical="center"/>
      <protection locked="0"/>
    </xf>
    <xf numFmtId="0" fontId="6" fillId="0" borderId="35" xfId="0" applyFont="1" applyBorder="1" applyAlignment="1" applyProtection="1">
      <alignment horizontal="left" vertical="center" wrapText="1"/>
      <protection locked="0"/>
    </xf>
    <xf numFmtId="0" fontId="6" fillId="0" borderId="0" xfId="0" applyFont="1" applyBorder="1" applyAlignment="1" applyProtection="1">
      <alignment horizontal="right" vertical="center" wrapText="1"/>
      <protection locked="0"/>
    </xf>
    <xf numFmtId="164" fontId="17"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protection locked="0"/>
    </xf>
    <xf numFmtId="0" fontId="2" fillId="0" borderId="0" xfId="0" applyFont="1" applyAlignment="1" applyProtection="1">
      <alignment horizontal="center" vertical="top"/>
      <protection locked="0"/>
    </xf>
    <xf numFmtId="0" fontId="6" fillId="0" borderId="25" xfId="0" applyFont="1" applyBorder="1" applyAlignment="1" applyProtection="1">
      <alignment horizontal="left" vertical="center"/>
      <protection locked="0"/>
    </xf>
    <xf numFmtId="0" fontId="3" fillId="0" borderId="0" xfId="0" applyFont="1" applyFill="1" applyAlignment="1" applyProtection="1">
      <alignment/>
      <protection locked="0"/>
    </xf>
    <xf numFmtId="0" fontId="3" fillId="36" borderId="14" xfId="0" applyFont="1" applyFill="1" applyBorder="1" applyAlignment="1" applyProtection="1">
      <alignment horizontal="center"/>
      <protection locked="0"/>
    </xf>
    <xf numFmtId="3" fontId="6" fillId="0" borderId="10" xfId="0" applyNumberFormat="1" applyFont="1" applyBorder="1" applyAlignment="1" applyProtection="1">
      <alignment horizontal="center" vertical="center"/>
      <protection locked="0"/>
    </xf>
    <xf numFmtId="3" fontId="3" fillId="0" borderId="0" xfId="0" applyNumberFormat="1" applyFont="1" applyAlignment="1" applyProtection="1">
      <alignment/>
      <protection locked="0"/>
    </xf>
    <xf numFmtId="9" fontId="12" fillId="0" borderId="21" xfId="58"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wrapText="1"/>
      <protection locked="0"/>
    </xf>
    <xf numFmtId="164" fontId="6" fillId="0" borderId="0" xfId="0" applyNumberFormat="1" applyFont="1" applyBorder="1" applyAlignment="1" applyProtection="1">
      <alignment horizontal="center" vertical="center"/>
      <protection/>
    </xf>
    <xf numFmtId="0" fontId="3" fillId="0" borderId="0" xfId="0" applyFont="1" applyFill="1" applyBorder="1" applyAlignment="1" applyProtection="1">
      <alignment horizontal="left" vertical="center" wrapText="1"/>
      <protection locked="0"/>
    </xf>
    <xf numFmtId="0" fontId="19" fillId="37" borderId="11" xfId="0" applyFont="1" applyFill="1" applyBorder="1" applyAlignment="1" applyProtection="1">
      <alignment horizontal="center" vertical="center"/>
      <protection locked="0"/>
    </xf>
    <xf numFmtId="164" fontId="19" fillId="37" borderId="11" xfId="57" applyNumberFormat="1" applyFont="1" applyFill="1" applyBorder="1" applyAlignment="1" applyProtection="1">
      <alignment horizontal="center" vertical="center" wrapText="1"/>
      <protection locked="0"/>
    </xf>
    <xf numFmtId="0" fontId="3" fillId="0" borderId="26" xfId="53" applyFont="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0" xfId="0" applyFont="1" applyAlignment="1" applyProtection="1">
      <alignment horizontal="left"/>
      <protection/>
    </xf>
    <xf numFmtId="0" fontId="43" fillId="32" borderId="37" xfId="42" applyFill="1" applyBorder="1" applyAlignment="1" applyProtection="1">
      <alignment horizontal="center" vertical="center" wrapText="1"/>
      <protection locked="0"/>
    </xf>
    <xf numFmtId="0" fontId="43" fillId="32" borderId="25" xfId="42" applyFill="1" applyBorder="1" applyAlignment="1" applyProtection="1">
      <alignment horizontal="center" vertical="center" wrapText="1"/>
      <protection locked="0"/>
    </xf>
    <xf numFmtId="0" fontId="3" fillId="32" borderId="13" xfId="0" applyFont="1" applyFill="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3" fillId="32" borderId="37" xfId="0" applyFont="1" applyFill="1" applyBorder="1" applyAlignment="1" applyProtection="1">
      <alignment horizontal="center" vertical="center" wrapText="1"/>
      <protection locked="0"/>
    </xf>
    <xf numFmtId="0" fontId="3" fillId="32" borderId="25" xfId="0" applyFont="1" applyFill="1" applyBorder="1" applyAlignment="1" applyProtection="1">
      <alignment horizontal="center" vertical="center" wrapText="1"/>
      <protection locked="0"/>
    </xf>
    <xf numFmtId="0" fontId="3" fillId="32" borderId="15" xfId="0" applyFont="1" applyFill="1" applyBorder="1" applyAlignment="1" applyProtection="1">
      <alignment horizontal="center" vertical="center" wrapText="1"/>
      <protection locked="0"/>
    </xf>
    <xf numFmtId="0" fontId="22" fillId="32" borderId="37" xfId="42" applyFont="1" applyFill="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166" fontId="3" fillId="0" borderId="0" xfId="0" applyNumberFormat="1" applyFont="1" applyAlignment="1" applyProtection="1">
      <alignment/>
      <protection locked="0"/>
    </xf>
    <xf numFmtId="166" fontId="3" fillId="0" borderId="0" xfId="0" applyNumberFormat="1" applyFont="1" applyAlignment="1" applyProtection="1">
      <alignment/>
      <protection locked="0"/>
    </xf>
    <xf numFmtId="166" fontId="3" fillId="0" borderId="25" xfId="0" applyNumberFormat="1" applyFont="1" applyBorder="1" applyAlignment="1" applyProtection="1">
      <alignment horizontal="center" vertical="center"/>
      <protection locked="0"/>
    </xf>
    <xf numFmtId="0" fontId="43" fillId="32" borderId="37" xfId="42" applyFill="1" applyBorder="1" applyAlignment="1" applyProtection="1">
      <alignment horizontal="center" vertical="center" wrapText="1"/>
      <protection locked="0"/>
    </xf>
    <xf numFmtId="165" fontId="12" fillId="0" borderId="21" xfId="57" applyNumberFormat="1" applyFont="1" applyFill="1" applyBorder="1" applyAlignment="1" applyProtection="1">
      <alignment horizontal="center" vertical="center"/>
      <protection locked="0"/>
    </xf>
    <xf numFmtId="165" fontId="12" fillId="0" borderId="22" xfId="57" applyNumberFormat="1" applyFont="1" applyFill="1" applyBorder="1" applyAlignment="1" applyProtection="1">
      <alignment horizontal="center" vertical="center"/>
      <protection locked="0"/>
    </xf>
    <xf numFmtId="165" fontId="12" fillId="0" borderId="23" xfId="57" applyNumberFormat="1" applyFont="1" applyFill="1" applyBorder="1" applyAlignment="1" applyProtection="1">
      <alignment horizontal="center" vertical="center"/>
      <protection locked="0"/>
    </xf>
    <xf numFmtId="9" fontId="12" fillId="0" borderId="21" xfId="58" applyFont="1" applyFill="1" applyBorder="1" applyAlignment="1" applyProtection="1">
      <alignment horizontal="center" vertical="center"/>
      <protection locked="0"/>
    </xf>
    <xf numFmtId="9" fontId="12" fillId="0" borderId="22" xfId="58" applyFont="1" applyFill="1" applyBorder="1" applyAlignment="1" applyProtection="1">
      <alignment horizontal="center" vertical="center"/>
      <protection locked="0"/>
    </xf>
    <xf numFmtId="9" fontId="12" fillId="0" borderId="23" xfId="58" applyFont="1" applyFill="1" applyBorder="1" applyAlignment="1" applyProtection="1">
      <alignment horizontal="center" vertical="center"/>
      <protection locked="0"/>
    </xf>
    <xf numFmtId="0" fontId="12" fillId="0" borderId="21" xfId="53" applyFont="1" applyBorder="1" applyAlignment="1" applyProtection="1">
      <alignment horizontal="center" vertical="center"/>
      <protection locked="0"/>
    </xf>
    <xf numFmtId="0" fontId="12" fillId="0" borderId="22" xfId="53" applyFont="1" applyBorder="1" applyAlignment="1" applyProtection="1">
      <alignment horizontal="center" vertical="center"/>
      <protection locked="0"/>
    </xf>
    <xf numFmtId="0" fontId="12" fillId="0" borderId="23" xfId="53" applyFont="1" applyBorder="1" applyAlignment="1" applyProtection="1">
      <alignment horizontal="center" vertical="center"/>
      <protection locked="0"/>
    </xf>
    <xf numFmtId="1" fontId="20" fillId="0" borderId="38" xfId="0" applyNumberFormat="1" applyFont="1" applyFill="1" applyBorder="1" applyAlignment="1" applyProtection="1">
      <alignment horizontal="center" vertical="center" wrapText="1"/>
      <protection locked="0"/>
    </xf>
    <xf numFmtId="0" fontId="6" fillId="32" borderId="24" xfId="0" applyFont="1" applyFill="1" applyBorder="1" applyAlignment="1" applyProtection="1">
      <alignment horizontal="center" vertical="center" wrapText="1"/>
      <protection locked="0"/>
    </xf>
    <xf numFmtId="0" fontId="6" fillId="32" borderId="28" xfId="0" applyFont="1" applyFill="1" applyBorder="1" applyAlignment="1" applyProtection="1">
      <alignment horizontal="center" vertical="center" wrapText="1"/>
      <protection locked="0"/>
    </xf>
    <xf numFmtId="0" fontId="5" fillId="0" borderId="27" xfId="53" applyFont="1" applyBorder="1" applyAlignment="1" applyProtection="1">
      <alignment vertical="top" wrapText="1"/>
      <protection locked="0"/>
    </xf>
    <xf numFmtId="0" fontId="7" fillId="0" borderId="0" xfId="53" applyFont="1" applyFill="1" applyAlignment="1" applyProtection="1">
      <alignment horizontal="left" vertical="center" wrapText="1"/>
      <protection locked="0"/>
    </xf>
    <xf numFmtId="0" fontId="3" fillId="0" borderId="0" xfId="0" applyFont="1" applyAlignment="1" applyProtection="1">
      <alignment vertical="top" wrapText="1"/>
      <protection locked="0"/>
    </xf>
    <xf numFmtId="166" fontId="19" fillId="32" borderId="13" xfId="0" applyNumberFormat="1" applyFont="1" applyFill="1" applyBorder="1" applyAlignment="1" applyProtection="1">
      <alignment horizontal="center" vertical="center" wrapText="1"/>
      <protection locked="0"/>
    </xf>
    <xf numFmtId="166" fontId="19" fillId="32" borderId="25" xfId="0" applyNumberFormat="1" applyFont="1" applyFill="1" applyBorder="1" applyAlignment="1" applyProtection="1">
      <alignment horizontal="center" vertical="center" wrapText="1"/>
      <protection locked="0"/>
    </xf>
    <xf numFmtId="166" fontId="19" fillId="32" borderId="10" xfId="0" applyNumberFormat="1" applyFont="1" applyFill="1" applyBorder="1" applyAlignment="1" applyProtection="1">
      <alignment horizontal="center" vertical="center" wrapText="1"/>
      <protection locked="0"/>
    </xf>
    <xf numFmtId="166" fontId="19" fillId="32" borderId="39" xfId="0" applyNumberFormat="1" applyFont="1" applyFill="1" applyBorder="1" applyAlignment="1" applyProtection="1">
      <alignment horizontal="center" vertical="center" wrapText="1"/>
      <protection locked="0"/>
    </xf>
    <xf numFmtId="166" fontId="19" fillId="32" borderId="40" xfId="0" applyNumberFormat="1" applyFont="1" applyFill="1" applyBorder="1" applyAlignment="1" applyProtection="1">
      <alignment horizontal="center" vertical="center" wrapText="1"/>
      <protection locked="0"/>
    </xf>
    <xf numFmtId="166" fontId="19" fillId="32" borderId="41" xfId="0" applyNumberFormat="1" applyFont="1" applyFill="1" applyBorder="1" applyAlignment="1" applyProtection="1">
      <alignment horizontal="center" vertical="center" wrapText="1"/>
      <protection locked="0"/>
    </xf>
    <xf numFmtId="0" fontId="5" fillId="0" borderId="0" xfId="53" applyFont="1" applyBorder="1" applyAlignment="1" applyProtection="1">
      <alignment vertical="top" wrapText="1"/>
      <protection locked="0"/>
    </xf>
    <xf numFmtId="0" fontId="43" fillId="32" borderId="37" xfId="42" applyFill="1" applyBorder="1" applyAlignment="1" applyProtection="1">
      <alignment horizontal="center" vertical="center" wrapText="1"/>
      <protection locked="0"/>
    </xf>
    <xf numFmtId="0" fontId="43" fillId="32" borderId="25" xfId="42" applyFill="1" applyBorder="1" applyAlignment="1" applyProtection="1">
      <alignment horizontal="center" vertical="center" wrapText="1"/>
      <protection locked="0"/>
    </xf>
    <xf numFmtId="0" fontId="3" fillId="32" borderId="37" xfId="0" applyFont="1" applyFill="1" applyBorder="1" applyAlignment="1" applyProtection="1">
      <alignment horizontal="center" vertical="center" wrapText="1"/>
      <protection locked="0"/>
    </xf>
    <xf numFmtId="0" fontId="3" fillId="32" borderId="25" xfId="0" applyFont="1" applyFill="1" applyBorder="1" applyAlignment="1" applyProtection="1">
      <alignment horizontal="center" vertical="center" wrapText="1"/>
      <protection locked="0"/>
    </xf>
    <xf numFmtId="0" fontId="3" fillId="32" borderId="15" xfId="0" applyFont="1" applyFill="1" applyBorder="1" applyAlignment="1" applyProtection="1">
      <alignment horizontal="center" vertical="center" wrapText="1"/>
      <protection locked="0"/>
    </xf>
    <xf numFmtId="0" fontId="6" fillId="35" borderId="42" xfId="0" applyFont="1" applyFill="1" applyBorder="1" applyAlignment="1" applyProtection="1">
      <alignment horizontal="center" vertical="center" wrapText="1"/>
      <protection locked="0"/>
    </xf>
    <xf numFmtId="0" fontId="6" fillId="35" borderId="43" xfId="0" applyFont="1" applyFill="1" applyBorder="1" applyAlignment="1" applyProtection="1">
      <alignment horizontal="center" vertical="center" wrapText="1"/>
      <protection locked="0"/>
    </xf>
    <xf numFmtId="0" fontId="6" fillId="35" borderId="0" xfId="0" applyFont="1" applyFill="1" applyBorder="1" applyAlignment="1" applyProtection="1">
      <alignment horizontal="center" vertical="center" wrapText="1"/>
      <protection locked="0"/>
    </xf>
    <xf numFmtId="0" fontId="6" fillId="35" borderId="44" xfId="0" applyFont="1" applyFill="1" applyBorder="1" applyAlignment="1" applyProtection="1">
      <alignment horizontal="center" vertical="center" wrapText="1"/>
      <protection locked="0"/>
    </xf>
    <xf numFmtId="0" fontId="5" fillId="0" borderId="0" xfId="53" applyFont="1" applyBorder="1" applyAlignment="1" applyProtection="1">
      <alignment horizontal="center" vertical="top" wrapText="1"/>
      <protection locked="0"/>
    </xf>
    <xf numFmtId="0" fontId="3" fillId="32" borderId="13" xfId="0" applyFont="1" applyFill="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wrapText="1"/>
      <protection locked="0"/>
    </xf>
    <xf numFmtId="0" fontId="5" fillId="38" borderId="27" xfId="53" applyFont="1" applyFill="1" applyBorder="1" applyAlignment="1" applyProtection="1">
      <alignmen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2"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47"/>
  <sheetViews>
    <sheetView view="pageBreakPreview" zoomScale="60" zoomScalePageLayoutView="0" workbookViewId="0" topLeftCell="B21">
      <selection activeCell="D12" sqref="D12"/>
    </sheetView>
  </sheetViews>
  <sheetFormatPr defaultColWidth="9.28125" defaultRowHeight="15"/>
  <cols>
    <col min="1" max="1" width="4.421875" style="90" hidden="1" customWidth="1"/>
    <col min="2" max="2" width="1.421875" style="80" customWidth="1"/>
    <col min="3" max="3" width="6.421875" style="80" customWidth="1"/>
    <col min="4" max="4" width="57.28125" style="80" customWidth="1"/>
    <col min="5" max="5" width="12.00390625" style="80" customWidth="1"/>
    <col min="6" max="6" width="5.57421875" style="80" bestFit="1" customWidth="1"/>
    <col min="7" max="7" width="1.28515625" style="80" customWidth="1"/>
    <col min="8" max="8" width="5.421875" style="80" customWidth="1"/>
    <col min="9" max="9" width="5.28125" style="80" customWidth="1"/>
    <col min="10" max="10" width="1.28515625" style="80" customWidth="1"/>
    <col min="11" max="11" width="5.57421875" style="80" customWidth="1"/>
    <col min="12" max="12" width="5.57421875" style="80" bestFit="1" customWidth="1"/>
    <col min="13" max="13" width="1.28515625" style="80" customWidth="1"/>
    <col min="14" max="15" width="5.57421875" style="80" bestFit="1" customWidth="1"/>
    <col min="16" max="16" width="1.28515625" style="80" customWidth="1"/>
    <col min="17" max="17" width="5.57421875" style="80" bestFit="1" customWidth="1"/>
    <col min="18" max="18" width="12.00390625" style="80" customWidth="1"/>
    <col min="19" max="19" width="9.00390625" style="80" customWidth="1"/>
    <col min="20" max="20" width="16.7109375" style="80" customWidth="1"/>
    <col min="21" max="21" width="5.57421875" style="17" customWidth="1"/>
    <col min="22" max="22" width="13.421875" style="91" customWidth="1"/>
    <col min="23" max="23" width="1.421875" style="17" customWidth="1"/>
    <col min="24" max="16384" width="9.28125" style="80" customWidth="1"/>
  </cols>
  <sheetData>
    <row r="1" spans="1:23" s="22" customFormat="1" ht="9.75">
      <c r="A1" s="54" t="s">
        <v>89</v>
      </c>
      <c r="B1" s="17"/>
      <c r="C1" s="55"/>
      <c r="D1" s="56"/>
      <c r="E1" s="17"/>
      <c r="F1" s="17"/>
      <c r="G1" s="17"/>
      <c r="H1" s="17"/>
      <c r="I1" s="17"/>
      <c r="J1" s="17"/>
      <c r="K1" s="17"/>
      <c r="L1" s="17"/>
      <c r="M1" s="17"/>
      <c r="N1" s="17"/>
      <c r="O1" s="17"/>
      <c r="P1" s="17"/>
      <c r="Q1" s="17"/>
      <c r="R1" s="17"/>
      <c r="S1" s="17"/>
      <c r="T1" s="17"/>
      <c r="U1" s="17"/>
      <c r="V1" s="57"/>
      <c r="W1" s="17"/>
    </row>
    <row r="2" spans="1:23" s="22" customFormat="1" ht="20.25" customHeight="1" thickBot="1">
      <c r="A2" s="54" t="s">
        <v>89</v>
      </c>
      <c r="B2" s="17"/>
      <c r="C2" s="58" t="s">
        <v>235</v>
      </c>
      <c r="D2" s="59"/>
      <c r="E2" s="60"/>
      <c r="F2" s="60"/>
      <c r="G2" s="60"/>
      <c r="H2" s="60"/>
      <c r="I2" s="60"/>
      <c r="J2" s="60"/>
      <c r="K2" s="60"/>
      <c r="L2" s="60"/>
      <c r="M2" s="60"/>
      <c r="N2" s="60"/>
      <c r="O2" s="60"/>
      <c r="P2" s="60"/>
      <c r="Q2" s="60"/>
      <c r="R2" s="60"/>
      <c r="S2" s="60"/>
      <c r="T2" s="60"/>
      <c r="U2" s="17"/>
      <c r="V2" s="61" t="s">
        <v>90</v>
      </c>
      <c r="W2" s="17"/>
    </row>
    <row r="3" spans="1:23" s="67" customFormat="1" ht="9.75">
      <c r="A3" s="62" t="s">
        <v>89</v>
      </c>
      <c r="B3" s="63"/>
      <c r="C3" s="64"/>
      <c r="D3" s="65" t="s">
        <v>91</v>
      </c>
      <c r="E3" s="181">
        <v>2012</v>
      </c>
      <c r="F3" s="181"/>
      <c r="G3" s="181"/>
      <c r="H3" s="181"/>
      <c r="I3" s="63"/>
      <c r="J3" s="63"/>
      <c r="K3" s="63"/>
      <c r="L3" s="63"/>
      <c r="M3" s="63"/>
      <c r="N3" s="63"/>
      <c r="O3" s="63"/>
      <c r="P3" s="63"/>
      <c r="Q3" s="63"/>
      <c r="R3" s="63"/>
      <c r="S3" s="63"/>
      <c r="T3" s="63"/>
      <c r="U3" s="63"/>
      <c r="V3" s="66">
        <f>IF(COUNTBLANK(V6:V41)-8&lt;COUNTA(V6:V41),"При заполнении формы допущены ошибки! Возможно при вводе данных были использованы пробелы, тире или иные текстовые символы.","")</f>
      </c>
      <c r="W3" s="63"/>
    </row>
    <row r="4" spans="1:23" s="22" customFormat="1" ht="9.75">
      <c r="A4" s="21" t="s">
        <v>92</v>
      </c>
      <c r="C4" s="68" t="s">
        <v>93</v>
      </c>
      <c r="D4" s="69" t="s">
        <v>94</v>
      </c>
      <c r="E4" s="70" t="s">
        <v>95</v>
      </c>
      <c r="F4" s="70"/>
      <c r="G4" s="70"/>
      <c r="H4" s="71"/>
      <c r="I4" s="70"/>
      <c r="J4" s="71"/>
      <c r="K4" s="70"/>
      <c r="L4" s="71"/>
      <c r="M4" s="70"/>
      <c r="N4" s="71"/>
      <c r="O4" s="70"/>
      <c r="P4" s="71"/>
      <c r="Q4" s="70"/>
      <c r="R4" s="71"/>
      <c r="S4" s="182" t="s">
        <v>96</v>
      </c>
      <c r="T4" s="183"/>
      <c r="U4" s="17"/>
      <c r="V4" s="72"/>
      <c r="W4" s="17"/>
    </row>
    <row r="5" spans="1:23" s="22" customFormat="1" ht="9.75">
      <c r="A5" s="21" t="s">
        <v>89</v>
      </c>
      <c r="C5" s="73"/>
      <c r="D5" s="74"/>
      <c r="E5" s="75">
        <v>0</v>
      </c>
      <c r="F5" s="76">
        <v>1</v>
      </c>
      <c r="G5" s="77"/>
      <c r="H5" s="78"/>
      <c r="I5" s="76">
        <v>2</v>
      </c>
      <c r="J5" s="77"/>
      <c r="K5" s="78"/>
      <c r="L5" s="76">
        <v>3</v>
      </c>
      <c r="M5" s="77"/>
      <c r="N5" s="78"/>
      <c r="O5" s="76">
        <v>4</v>
      </c>
      <c r="P5" s="77"/>
      <c r="Q5" s="78"/>
      <c r="R5" s="79">
        <v>5</v>
      </c>
      <c r="S5" s="75" t="s">
        <v>97</v>
      </c>
      <c r="T5" s="146" t="s">
        <v>98</v>
      </c>
      <c r="U5" s="17"/>
      <c r="V5" s="72"/>
      <c r="W5" s="17"/>
    </row>
    <row r="6" spans="1:23" s="22" customFormat="1" ht="9.75">
      <c r="A6" s="54" t="s">
        <v>89</v>
      </c>
      <c r="B6" s="80"/>
      <c r="C6" s="46" t="s">
        <v>99</v>
      </c>
      <c r="D6" s="47" t="s">
        <v>379</v>
      </c>
      <c r="E6" s="48"/>
      <c r="F6" s="48"/>
      <c r="G6" s="48"/>
      <c r="H6" s="48"/>
      <c r="I6" s="48"/>
      <c r="J6" s="48"/>
      <c r="K6" s="48"/>
      <c r="L6" s="48"/>
      <c r="M6" s="48"/>
      <c r="N6" s="48"/>
      <c r="O6" s="48"/>
      <c r="P6" s="48"/>
      <c r="Q6" s="48"/>
      <c r="R6" s="49" t="s">
        <v>100</v>
      </c>
      <c r="S6" s="48"/>
      <c r="T6" s="147">
        <f>IF(COUNT(T7:T13)&gt;0,SUM(T7:T13),"")</f>
        <v>21</v>
      </c>
      <c r="U6" s="17"/>
      <c r="V6" s="81"/>
      <c r="W6" s="17"/>
    </row>
    <row r="7" spans="1:23" s="22" customFormat="1" ht="33.75" customHeight="1">
      <c r="A7" s="54"/>
      <c r="B7" s="80"/>
      <c r="C7" s="32" t="s">
        <v>101</v>
      </c>
      <c r="D7" s="33" t="s">
        <v>176</v>
      </c>
      <c r="E7" s="34" t="s">
        <v>102</v>
      </c>
      <c r="F7" s="35">
        <v>0.07</v>
      </c>
      <c r="G7" s="36" t="s">
        <v>103</v>
      </c>
      <c r="H7" s="37">
        <v>0.1</v>
      </c>
      <c r="I7" s="35">
        <v>0.05</v>
      </c>
      <c r="J7" s="36" t="s">
        <v>103</v>
      </c>
      <c r="K7" s="37">
        <v>0.07</v>
      </c>
      <c r="L7" s="35">
        <v>0.03</v>
      </c>
      <c r="M7" s="36" t="s">
        <v>103</v>
      </c>
      <c r="N7" s="37">
        <v>0.05</v>
      </c>
      <c r="O7" s="35" t="s">
        <v>106</v>
      </c>
      <c r="P7" s="36"/>
      <c r="Q7" s="37">
        <v>0.03</v>
      </c>
      <c r="R7" s="149">
        <v>0</v>
      </c>
      <c r="S7" s="10">
        <f>ОС1</f>
        <v>0.017119415564879694</v>
      </c>
      <c r="T7" s="12">
        <f>IF(OR(S7="",ISTEXT(S7)),"",IF(S7&gt;=$H7,0,IF(S7&gt;=$F7,1,IF(S7&gt;=$I7,2,IF(S7&gt;=$L7,3,IF(S7&lt;=$R7,5,IF(S7&lt;$Q7,4)))))))</f>
        <v>4</v>
      </c>
      <c r="U7" s="17"/>
      <c r="V7" s="81"/>
      <c r="W7" s="17"/>
    </row>
    <row r="8" spans="1:23" s="22" customFormat="1" ht="33.75" customHeight="1">
      <c r="A8" s="54"/>
      <c r="B8" s="80"/>
      <c r="C8" s="32" t="s">
        <v>104</v>
      </c>
      <c r="D8" s="33" t="s">
        <v>177</v>
      </c>
      <c r="E8" s="34" t="s">
        <v>105</v>
      </c>
      <c r="F8" s="35">
        <v>0.3</v>
      </c>
      <c r="G8" s="38" t="s">
        <v>103</v>
      </c>
      <c r="H8" s="39">
        <v>0.5</v>
      </c>
      <c r="I8" s="35">
        <v>0.2</v>
      </c>
      <c r="J8" s="38" t="s">
        <v>103</v>
      </c>
      <c r="K8" s="39">
        <v>0.3</v>
      </c>
      <c r="L8" s="35">
        <v>0.1</v>
      </c>
      <c r="M8" s="38" t="s">
        <v>103</v>
      </c>
      <c r="N8" s="39">
        <v>0.2</v>
      </c>
      <c r="O8" s="35" t="s">
        <v>106</v>
      </c>
      <c r="P8" s="38"/>
      <c r="Q8" s="39">
        <v>0.1</v>
      </c>
      <c r="R8" s="40">
        <v>0</v>
      </c>
      <c r="S8" s="10">
        <f>+ОС2</f>
        <v>0.1561678252941352</v>
      </c>
      <c r="T8" s="12">
        <f>IF(OR(S8="",ISTEXT(S8)),"",IF(S8&gt;=$H8,0,IF(S8&gt;=$F8,1,IF(S8&gt;=$I8,2,IF(S8&gt;=$L8,3,IF(S8=$R8,5,IF(S8&lt;$Q8,4)))))))</f>
        <v>3</v>
      </c>
      <c r="U8" s="17"/>
      <c r="V8" s="81"/>
      <c r="W8" s="17"/>
    </row>
    <row r="9" spans="1:23" s="22" customFormat="1" ht="33.75" customHeight="1">
      <c r="A9" s="54"/>
      <c r="B9" s="80"/>
      <c r="C9" s="32" t="s">
        <v>107</v>
      </c>
      <c r="D9" s="33" t="s">
        <v>178</v>
      </c>
      <c r="E9" s="34" t="s">
        <v>108</v>
      </c>
      <c r="F9" s="41">
        <v>0.0075</v>
      </c>
      <c r="G9" s="36" t="s">
        <v>103</v>
      </c>
      <c r="H9" s="37">
        <v>0.01</v>
      </c>
      <c r="I9" s="42">
        <v>0.005</v>
      </c>
      <c r="J9" s="36" t="s">
        <v>103</v>
      </c>
      <c r="K9" s="43">
        <v>0.0075</v>
      </c>
      <c r="L9" s="41">
        <v>0.0025</v>
      </c>
      <c r="M9" s="36" t="s">
        <v>103</v>
      </c>
      <c r="N9" s="44">
        <v>0.005</v>
      </c>
      <c r="O9" s="35" t="s">
        <v>106</v>
      </c>
      <c r="P9" s="36"/>
      <c r="Q9" s="43">
        <v>0.0025</v>
      </c>
      <c r="R9" s="40">
        <v>0</v>
      </c>
      <c r="S9" s="11">
        <f>ОС3</f>
        <v>0</v>
      </c>
      <c r="T9" s="12">
        <f>IF(OR(S9="",ISTEXT(S9)),"",IF(S9&gt;=$H9,0,IF(S9&gt;=$F9,1,IF(S9&gt;=$I9,2,IF(S9&gt;=$L9,3,IF(S9=$R9,5,IF(S9&lt;$Q9,4)))))))</f>
        <v>5</v>
      </c>
      <c r="U9" s="17"/>
      <c r="V9" s="81"/>
      <c r="W9" s="17"/>
    </row>
    <row r="10" spans="1:23" s="22" customFormat="1" ht="33.75" customHeight="1">
      <c r="A10" s="54"/>
      <c r="B10" s="80"/>
      <c r="C10" s="32" t="s">
        <v>109</v>
      </c>
      <c r="D10" s="33" t="s">
        <v>179</v>
      </c>
      <c r="E10" s="34" t="s">
        <v>183</v>
      </c>
      <c r="F10" s="35">
        <v>0.01</v>
      </c>
      <c r="G10" s="36" t="s">
        <v>103</v>
      </c>
      <c r="H10" s="37">
        <v>0.03</v>
      </c>
      <c r="I10" s="35">
        <v>0.03</v>
      </c>
      <c r="J10" s="36" t="s">
        <v>103</v>
      </c>
      <c r="K10" s="37">
        <v>0.05</v>
      </c>
      <c r="L10" s="35">
        <v>0.05</v>
      </c>
      <c r="M10" s="36" t="s">
        <v>103</v>
      </c>
      <c r="N10" s="37">
        <v>0.1</v>
      </c>
      <c r="O10" s="35">
        <v>0.1</v>
      </c>
      <c r="P10" s="36" t="s">
        <v>103</v>
      </c>
      <c r="Q10" s="37">
        <v>0.2</v>
      </c>
      <c r="R10" s="40" t="s">
        <v>184</v>
      </c>
      <c r="S10" s="10">
        <f>ОС4</f>
        <v>0.21300690729151214</v>
      </c>
      <c r="T10" s="15">
        <f>IF(OR(S10="",ISTEXT(S10)),"",IF(S10&lt;$F10,0,IF(S10&lt;$I10,1,IF(S10&lt;$L10,2,IF(S10&lt;$O10,3,IF(S10&lt;$Q10,4,5))))))</f>
        <v>5</v>
      </c>
      <c r="U10" s="17"/>
      <c r="V10" s="81"/>
      <c r="W10" s="17"/>
    </row>
    <row r="11" spans="1:23" s="22" customFormat="1" ht="33.75" customHeight="1">
      <c r="A11" s="54"/>
      <c r="B11" s="80"/>
      <c r="C11" s="32" t="s">
        <v>111</v>
      </c>
      <c r="D11" s="33" t="s">
        <v>180</v>
      </c>
      <c r="E11" s="34" t="s">
        <v>184</v>
      </c>
      <c r="F11" s="35">
        <v>0.15</v>
      </c>
      <c r="G11" s="36" t="s">
        <v>103</v>
      </c>
      <c r="H11" s="37">
        <v>0.2</v>
      </c>
      <c r="I11" s="35">
        <v>0.1</v>
      </c>
      <c r="J11" s="36" t="s">
        <v>103</v>
      </c>
      <c r="K11" s="37">
        <v>0.15</v>
      </c>
      <c r="L11" s="35">
        <v>0.05</v>
      </c>
      <c r="M11" s="36" t="s">
        <v>103</v>
      </c>
      <c r="N11" s="37">
        <v>0.1</v>
      </c>
      <c r="O11" s="35">
        <v>0.03</v>
      </c>
      <c r="P11" s="38" t="s">
        <v>103</v>
      </c>
      <c r="Q11" s="39">
        <v>0.05</v>
      </c>
      <c r="R11" s="45" t="s">
        <v>185</v>
      </c>
      <c r="S11" s="10">
        <f>ОС5</f>
        <v>0.14378890961149482</v>
      </c>
      <c r="T11" s="12">
        <f>IF(OR(S11="",ISTEXT(S11)),"",IF(S11&gt;=$H11,0,IF(S11&gt;=$F11,1,IF(S11&gt;=$I11,2,IF(S11&gt;=$L11,3,IF(S11&gt;=$O11,4,IF(S11&lt;$O11,5)))))))</f>
        <v>2</v>
      </c>
      <c r="U11" s="17"/>
      <c r="V11" s="81"/>
      <c r="W11" s="17"/>
    </row>
    <row r="12" spans="1:23" s="22" customFormat="1" ht="33.75" customHeight="1">
      <c r="A12" s="54"/>
      <c r="B12" s="80"/>
      <c r="C12" s="32" t="s">
        <v>112</v>
      </c>
      <c r="D12" s="33" t="s">
        <v>182</v>
      </c>
      <c r="E12" s="40">
        <v>0</v>
      </c>
      <c r="F12" s="35" t="s">
        <v>106</v>
      </c>
      <c r="G12" s="36"/>
      <c r="H12" s="37">
        <v>0.05</v>
      </c>
      <c r="I12" s="35">
        <v>0.05</v>
      </c>
      <c r="J12" s="36" t="s">
        <v>103</v>
      </c>
      <c r="K12" s="37">
        <v>0.1</v>
      </c>
      <c r="L12" s="35">
        <v>0.1</v>
      </c>
      <c r="M12" s="36" t="s">
        <v>103</v>
      </c>
      <c r="N12" s="37">
        <v>0.15</v>
      </c>
      <c r="O12" s="35">
        <v>0.15</v>
      </c>
      <c r="P12" s="36" t="s">
        <v>103</v>
      </c>
      <c r="Q12" s="37">
        <v>0.2</v>
      </c>
      <c r="R12" s="40" t="s">
        <v>186</v>
      </c>
      <c r="S12" s="10">
        <f>ОС6</f>
        <v>0.020989383965156483</v>
      </c>
      <c r="T12" s="12">
        <f>IF(OR(S12="",ISTEXT(S12)),"",IF(S12&lt;=$E12,0,IF(S12&lt;$H12,1,IF(S12&lt;$I12,1,IF(S12&lt;$L12,2,IF(S12&lt;$O12,3,IF(S12&lt;=$Q12,4,IF(S12&gt;$Q12,5))))))))</f>
        <v>1</v>
      </c>
      <c r="U12" s="17"/>
      <c r="V12" s="82"/>
      <c r="W12" s="17"/>
    </row>
    <row r="13" spans="1:23" s="22" customFormat="1" ht="33.75" customHeight="1">
      <c r="A13" s="54"/>
      <c r="B13" s="80"/>
      <c r="C13" s="32" t="s">
        <v>115</v>
      </c>
      <c r="D13" s="33" t="s">
        <v>181</v>
      </c>
      <c r="E13" s="34" t="s">
        <v>273</v>
      </c>
      <c r="F13" s="42">
        <v>0.075</v>
      </c>
      <c r="G13" s="36" t="s">
        <v>103</v>
      </c>
      <c r="H13" s="44">
        <v>0.085</v>
      </c>
      <c r="I13" s="42">
        <v>0.085</v>
      </c>
      <c r="J13" s="36" t="s">
        <v>103</v>
      </c>
      <c r="K13" s="44">
        <v>0.095</v>
      </c>
      <c r="L13" s="42">
        <v>0.095</v>
      </c>
      <c r="M13" s="36" t="s">
        <v>103</v>
      </c>
      <c r="N13" s="44">
        <v>0.105</v>
      </c>
      <c r="O13" s="42">
        <v>0.105</v>
      </c>
      <c r="P13" s="36" t="s">
        <v>103</v>
      </c>
      <c r="Q13" s="44">
        <v>0.115</v>
      </c>
      <c r="R13" s="40" t="s">
        <v>116</v>
      </c>
      <c r="S13" s="10">
        <f>+ОС7</f>
        <v>0.07500024977174691</v>
      </c>
      <c r="T13" s="12">
        <f>IF(OR(S13="",ISTEXT(S13)),"",IF(S13&lt;$F13,0,IF(S13&lt;$I13,1,IF(S13&lt;$L13,2,IF(S13&lt;$O13,3,IF(S13&lt;$Q13,4,5))))))</f>
        <v>1</v>
      </c>
      <c r="U13" s="17"/>
      <c r="V13" s="81"/>
      <c r="W13" s="17"/>
    </row>
    <row r="14" spans="1:23" s="22" customFormat="1" ht="9.75">
      <c r="A14" s="54" t="s">
        <v>89</v>
      </c>
      <c r="B14" s="80"/>
      <c r="C14" s="46" t="s">
        <v>117</v>
      </c>
      <c r="D14" s="47" t="s">
        <v>380</v>
      </c>
      <c r="E14" s="48"/>
      <c r="F14" s="48"/>
      <c r="G14" s="48"/>
      <c r="H14" s="48"/>
      <c r="I14" s="48"/>
      <c r="J14" s="48"/>
      <c r="K14" s="48"/>
      <c r="L14" s="48"/>
      <c r="M14" s="48"/>
      <c r="N14" s="48"/>
      <c r="O14" s="48"/>
      <c r="P14" s="48"/>
      <c r="Q14" s="48"/>
      <c r="R14" s="49" t="s">
        <v>100</v>
      </c>
      <c r="S14" s="155"/>
      <c r="T14" s="3">
        <f>IF(COUNT(T15:T24)&gt;0,SUM(T15:T24),"")</f>
        <v>37</v>
      </c>
      <c r="U14" s="17"/>
      <c r="V14" s="81"/>
      <c r="W14" s="17"/>
    </row>
    <row r="15" spans="1:23" s="22" customFormat="1" ht="20.25">
      <c r="A15" s="54"/>
      <c r="B15" s="80"/>
      <c r="C15" s="32" t="s">
        <v>118</v>
      </c>
      <c r="D15" s="33" t="s">
        <v>199</v>
      </c>
      <c r="E15" s="34" t="s">
        <v>113</v>
      </c>
      <c r="F15" s="35"/>
      <c r="G15" s="36"/>
      <c r="H15" s="37"/>
      <c r="I15" s="35"/>
      <c r="J15" s="36"/>
      <c r="K15" s="37"/>
      <c r="L15" s="35"/>
      <c r="M15" s="36"/>
      <c r="N15" s="37"/>
      <c r="O15" s="178" t="s">
        <v>114</v>
      </c>
      <c r="P15" s="179"/>
      <c r="Q15" s="180"/>
      <c r="R15" s="40"/>
      <c r="S15" s="154" t="s">
        <v>114</v>
      </c>
      <c r="T15" s="12">
        <f>IF(S15="","",IF(AND(S15&lt;&gt;"да",S15&lt;&gt;"нет"),"",IF(S15="да",4,IF(S15="нет",0))))</f>
        <v>4</v>
      </c>
      <c r="U15" s="17"/>
      <c r="V15" s="81"/>
      <c r="W15" s="17"/>
    </row>
    <row r="16" spans="1:23" s="22" customFormat="1" ht="30">
      <c r="A16" s="54"/>
      <c r="B16" s="80"/>
      <c r="C16" s="32" t="s">
        <v>119</v>
      </c>
      <c r="D16" s="33" t="s">
        <v>200</v>
      </c>
      <c r="E16" s="34" t="s">
        <v>128</v>
      </c>
      <c r="F16" s="35">
        <v>0.1</v>
      </c>
      <c r="G16" s="36" t="s">
        <v>103</v>
      </c>
      <c r="H16" s="37">
        <v>0.15</v>
      </c>
      <c r="I16" s="35">
        <v>0.05</v>
      </c>
      <c r="J16" s="36" t="s">
        <v>103</v>
      </c>
      <c r="K16" s="37">
        <v>0.1</v>
      </c>
      <c r="L16" s="35">
        <v>0.03</v>
      </c>
      <c r="M16" s="36" t="s">
        <v>103</v>
      </c>
      <c r="N16" s="37">
        <v>0.05</v>
      </c>
      <c r="O16" s="35" t="s">
        <v>106</v>
      </c>
      <c r="P16" s="36" t="s">
        <v>103</v>
      </c>
      <c r="Q16" s="37">
        <v>0.03</v>
      </c>
      <c r="R16" s="40"/>
      <c r="S16" s="10">
        <f>ПР2</f>
        <v>0.005299902862905714</v>
      </c>
      <c r="T16" s="12">
        <f>IF(OR(S16="",ISTEXT(S16)),"",IF(S16&gt;=$H16,0,IF(S16&gt;=$F16,1,IF(S16&gt;=$I16,2,IF(S16&gt;=$L16,3,IF(S16&lt;$Q16,4,5))))))</f>
        <v>4</v>
      </c>
      <c r="U16" s="17"/>
      <c r="V16" s="81"/>
      <c r="W16" s="17"/>
    </row>
    <row r="17" spans="1:23" s="22" customFormat="1" ht="14.25">
      <c r="A17" s="54"/>
      <c r="B17" s="80"/>
      <c r="C17" s="32" t="s">
        <v>120</v>
      </c>
      <c r="D17" s="33" t="s">
        <v>383</v>
      </c>
      <c r="E17" s="34" t="s">
        <v>113</v>
      </c>
      <c r="F17" s="35"/>
      <c r="G17" s="36"/>
      <c r="H17" s="37"/>
      <c r="I17" s="35"/>
      <c r="J17" s="36"/>
      <c r="K17" s="37"/>
      <c r="L17" s="35"/>
      <c r="M17" s="36"/>
      <c r="N17" s="37"/>
      <c r="O17" s="178" t="s">
        <v>114</v>
      </c>
      <c r="P17" s="179"/>
      <c r="Q17" s="180"/>
      <c r="R17" s="40"/>
      <c r="S17" s="10" t="str">
        <f>ПР3</f>
        <v>да</v>
      </c>
      <c r="T17" s="12">
        <f>IF(S17="","",IF(AND(S17&lt;&gt;"да",S17&lt;&gt;"нет"),"",IF(S17="да",4,IF(S17="нет",0))))</f>
        <v>4</v>
      </c>
      <c r="U17" s="17"/>
      <c r="V17" s="81"/>
      <c r="W17" s="17"/>
    </row>
    <row r="18" spans="1:23" s="22" customFormat="1" ht="20.25">
      <c r="A18" s="54"/>
      <c r="B18" s="80"/>
      <c r="C18" s="32" t="s">
        <v>121</v>
      </c>
      <c r="D18" s="33" t="s">
        <v>201</v>
      </c>
      <c r="E18" s="34" t="s">
        <v>113</v>
      </c>
      <c r="F18" s="35"/>
      <c r="G18" s="36"/>
      <c r="H18" s="37"/>
      <c r="I18" s="35"/>
      <c r="J18" s="36"/>
      <c r="K18" s="37"/>
      <c r="L18" s="35"/>
      <c r="M18" s="36"/>
      <c r="N18" s="37"/>
      <c r="O18" s="178" t="s">
        <v>114</v>
      </c>
      <c r="P18" s="179"/>
      <c r="Q18" s="180"/>
      <c r="R18" s="40"/>
      <c r="S18" s="10" t="str">
        <f>ПР4</f>
        <v>да</v>
      </c>
      <c r="T18" s="12">
        <f>IF(S18="","",IF(AND(S18&lt;&gt;"да",S18&lt;&gt;"нет"),"",IF(S18="да",4,IF(S18="нет",0))))</f>
        <v>4</v>
      </c>
      <c r="U18" s="17"/>
      <c r="V18" s="81"/>
      <c r="W18" s="17"/>
    </row>
    <row r="19" spans="1:23" s="22" customFormat="1" ht="33.75" customHeight="1">
      <c r="A19" s="54"/>
      <c r="B19" s="80"/>
      <c r="C19" s="32" t="s">
        <v>187</v>
      </c>
      <c r="D19" s="33" t="s">
        <v>189</v>
      </c>
      <c r="E19" s="34" t="s">
        <v>206</v>
      </c>
      <c r="F19" s="35">
        <v>0.3</v>
      </c>
      <c r="G19" s="36" t="s">
        <v>103</v>
      </c>
      <c r="H19" s="37">
        <v>0.4</v>
      </c>
      <c r="I19" s="35">
        <v>0.4</v>
      </c>
      <c r="J19" s="36" t="s">
        <v>103</v>
      </c>
      <c r="K19" s="37">
        <v>0.5</v>
      </c>
      <c r="L19" s="35">
        <v>0.5</v>
      </c>
      <c r="M19" s="36" t="s">
        <v>103</v>
      </c>
      <c r="N19" s="37">
        <v>0.6</v>
      </c>
      <c r="O19" s="35">
        <v>0.6</v>
      </c>
      <c r="P19" s="36" t="s">
        <v>103</v>
      </c>
      <c r="Q19" s="37">
        <v>0.7</v>
      </c>
      <c r="R19" s="40" t="s">
        <v>207</v>
      </c>
      <c r="S19" s="10">
        <f>ПР5</f>
        <v>0.6925977532126876</v>
      </c>
      <c r="T19" s="12">
        <f>IF(OR(S19="",ISTEXT(S19)),"",IF(S19&lt;$F19,0,IF(S19&lt;$I19,1,IF(S19&lt;$L19,2,IF(S19&lt;$O19,3,IF(S19&lt;$Q19,4,5))))))</f>
        <v>4</v>
      </c>
      <c r="U19" s="17"/>
      <c r="V19" s="81"/>
      <c r="W19" s="17"/>
    </row>
    <row r="20" spans="1:23" s="22" customFormat="1" ht="33.75" customHeight="1">
      <c r="A20" s="54"/>
      <c r="B20" s="80"/>
      <c r="C20" s="32" t="s">
        <v>195</v>
      </c>
      <c r="D20" s="33" t="s">
        <v>202</v>
      </c>
      <c r="E20" s="34" t="s">
        <v>105</v>
      </c>
      <c r="F20" s="35">
        <v>0.4</v>
      </c>
      <c r="G20" s="36" t="s">
        <v>103</v>
      </c>
      <c r="H20" s="37">
        <v>0.5</v>
      </c>
      <c r="I20" s="35">
        <v>0.25</v>
      </c>
      <c r="J20" s="36" t="s">
        <v>103</v>
      </c>
      <c r="K20" s="37">
        <v>0.4</v>
      </c>
      <c r="L20" s="35">
        <v>0.1</v>
      </c>
      <c r="M20" s="36" t="s">
        <v>103</v>
      </c>
      <c r="N20" s="37">
        <v>0.25</v>
      </c>
      <c r="O20" s="35">
        <v>0.05</v>
      </c>
      <c r="P20" s="36" t="s">
        <v>103</v>
      </c>
      <c r="Q20" s="37">
        <v>0.1</v>
      </c>
      <c r="R20" s="40" t="s">
        <v>110</v>
      </c>
      <c r="S20" s="10">
        <f>ПР6</f>
        <v>0.2</v>
      </c>
      <c r="T20" s="12">
        <f>IF(OR(S20="",ISTEXT(S20)),"",IF(S20&gt;=$H20,0,IF(S20&gt;=$F20,1,IF(S20&gt;=$I20,2,IF(S20&gt;=$L20,3,IF(S20&gt;=$O20,4,IF(S20&lt;$O20,5)))))))</f>
        <v>3</v>
      </c>
      <c r="U20" s="17"/>
      <c r="V20" s="81"/>
      <c r="W20" s="17"/>
    </row>
    <row r="21" spans="1:23" s="22" customFormat="1" ht="33.75" customHeight="1">
      <c r="A21" s="54"/>
      <c r="B21" s="80"/>
      <c r="C21" s="32" t="s">
        <v>196</v>
      </c>
      <c r="D21" s="33" t="s">
        <v>203</v>
      </c>
      <c r="E21" s="34" t="s">
        <v>113</v>
      </c>
      <c r="F21" s="35"/>
      <c r="G21" s="36"/>
      <c r="H21" s="37"/>
      <c r="I21" s="35"/>
      <c r="J21" s="36"/>
      <c r="K21" s="37"/>
      <c r="L21" s="175" t="s">
        <v>114</v>
      </c>
      <c r="M21" s="176"/>
      <c r="N21" s="177"/>
      <c r="O21" s="35"/>
      <c r="P21" s="38"/>
      <c r="Q21" s="37"/>
      <c r="R21" s="40"/>
      <c r="S21" s="154" t="s">
        <v>114</v>
      </c>
      <c r="T21" s="12">
        <f>IF(S21="","",IF(AND(S21&lt;&gt;"да",S21&lt;&gt;"нет"),"",IF(S21="да",3,IF(S21="нет",0))))</f>
        <v>3</v>
      </c>
      <c r="U21" s="17"/>
      <c r="V21" s="81"/>
      <c r="W21" s="17"/>
    </row>
    <row r="22" spans="1:23" s="22" customFormat="1" ht="33.75" customHeight="1">
      <c r="A22" s="54"/>
      <c r="B22" s="80"/>
      <c r="C22" s="32" t="s">
        <v>197</v>
      </c>
      <c r="D22" s="33" t="s">
        <v>204</v>
      </c>
      <c r="E22" s="34" t="s">
        <v>113</v>
      </c>
      <c r="F22" s="35"/>
      <c r="G22" s="36"/>
      <c r="H22" s="37"/>
      <c r="I22" s="35"/>
      <c r="J22" s="36"/>
      <c r="K22" s="37"/>
      <c r="L22" s="175" t="s">
        <v>114</v>
      </c>
      <c r="M22" s="176"/>
      <c r="N22" s="177"/>
      <c r="O22" s="35"/>
      <c r="P22" s="36"/>
      <c r="Q22" s="37"/>
      <c r="R22" s="40"/>
      <c r="S22" s="10" t="str">
        <f>ПР8</f>
        <v>да</v>
      </c>
      <c r="T22" s="12">
        <f>IF(S22="","",IF(AND(S22&lt;&gt;"да",S22&lt;&gt;"нет"),"",IF(S22="да",3,IF(S22="нет",0))))</f>
        <v>3</v>
      </c>
      <c r="U22" s="17"/>
      <c r="V22" s="81"/>
      <c r="W22" s="17"/>
    </row>
    <row r="23" spans="1:23" s="22" customFormat="1" ht="33.75" customHeight="1">
      <c r="A23" s="54"/>
      <c r="B23" s="80"/>
      <c r="C23" s="32" t="s">
        <v>198</v>
      </c>
      <c r="D23" s="33" t="s">
        <v>205</v>
      </c>
      <c r="E23" s="34" t="s">
        <v>113</v>
      </c>
      <c r="F23" s="35"/>
      <c r="G23" s="36"/>
      <c r="H23" s="37"/>
      <c r="I23" s="35"/>
      <c r="J23" s="36"/>
      <c r="K23" s="37"/>
      <c r="L23" s="175" t="s">
        <v>114</v>
      </c>
      <c r="M23" s="176"/>
      <c r="N23" s="177"/>
      <c r="O23" s="35"/>
      <c r="P23" s="36"/>
      <c r="Q23" s="37"/>
      <c r="R23" s="40"/>
      <c r="S23" s="10" t="str">
        <f>ПР9</f>
        <v>да</v>
      </c>
      <c r="T23" s="12">
        <f>IF(S23="","",IF(AND(S23&lt;&gt;"да",S23&lt;&gt;"нет"),"",IF(S23="да",3,IF(S23="нет",0))))</f>
        <v>3</v>
      </c>
      <c r="U23" s="17"/>
      <c r="V23" s="81"/>
      <c r="W23" s="17"/>
    </row>
    <row r="24" spans="1:23" s="22" customFormat="1" ht="33.75" customHeight="1">
      <c r="A24" s="54"/>
      <c r="B24" s="80"/>
      <c r="C24" s="32" t="s">
        <v>188</v>
      </c>
      <c r="D24" s="33" t="s">
        <v>194</v>
      </c>
      <c r="E24" s="34" t="s">
        <v>113</v>
      </c>
      <c r="F24" s="35"/>
      <c r="G24" s="36"/>
      <c r="H24" s="37"/>
      <c r="I24" s="35"/>
      <c r="J24" s="36"/>
      <c r="K24" s="37"/>
      <c r="L24" s="35"/>
      <c r="M24" s="36"/>
      <c r="N24" s="37"/>
      <c r="O24" s="35"/>
      <c r="P24" s="38"/>
      <c r="Q24" s="37"/>
      <c r="R24" s="40" t="s">
        <v>114</v>
      </c>
      <c r="S24" s="153" t="s">
        <v>114</v>
      </c>
      <c r="T24" s="12">
        <f>IF(S24="","",IF(AND(S24&lt;&gt;"да",S24&lt;&gt;"нет"),"",IF(S24="да",5,IF(S24="нет",0))))</f>
        <v>5</v>
      </c>
      <c r="U24" s="17"/>
      <c r="V24" s="82">
        <f>IF(S24="","",IF(AND(S24&lt;&gt;"",S24&lt;&gt;"да",S24&lt;&gt;"нет"),"!! Неверное значение. Укажите ДА или НЕТ",""))</f>
      </c>
      <c r="W24" s="17"/>
    </row>
    <row r="25" spans="1:23" s="22" customFormat="1" ht="9.75">
      <c r="A25" s="54"/>
      <c r="B25" s="80"/>
      <c r="C25" s="46" t="s">
        <v>122</v>
      </c>
      <c r="D25" s="47" t="s">
        <v>123</v>
      </c>
      <c r="E25" s="48"/>
      <c r="F25" s="48"/>
      <c r="G25" s="48"/>
      <c r="H25" s="48"/>
      <c r="I25" s="48"/>
      <c r="J25" s="48"/>
      <c r="K25" s="48"/>
      <c r="L25" s="48"/>
      <c r="M25" s="48"/>
      <c r="N25" s="48"/>
      <c r="O25" s="48"/>
      <c r="P25" s="48"/>
      <c r="Q25" s="48"/>
      <c r="R25" s="49" t="s">
        <v>100</v>
      </c>
      <c r="S25" s="155"/>
      <c r="T25" s="3">
        <f>IF(COUNT(T27:T34)&gt;0,SUM(T27:T34),"")</f>
        <v>31</v>
      </c>
      <c r="U25" s="17"/>
      <c r="V25" s="81"/>
      <c r="W25" s="17"/>
    </row>
    <row r="26" spans="1:23" s="22" customFormat="1" ht="20.25">
      <c r="A26" s="54"/>
      <c r="B26" s="80"/>
      <c r="C26" s="32" t="s">
        <v>124</v>
      </c>
      <c r="D26" s="33" t="s">
        <v>208</v>
      </c>
      <c r="E26" s="34" t="s">
        <v>114</v>
      </c>
      <c r="F26" s="35"/>
      <c r="G26" s="36"/>
      <c r="H26" s="37"/>
      <c r="I26" s="35"/>
      <c r="J26" s="36"/>
      <c r="K26" s="37"/>
      <c r="L26" s="35"/>
      <c r="M26" s="36"/>
      <c r="N26" s="37"/>
      <c r="O26" s="35"/>
      <c r="P26" s="36"/>
      <c r="Q26" s="37"/>
      <c r="R26" s="40" t="s">
        <v>113</v>
      </c>
      <c r="S26" s="10">
        <f>РБ1</f>
      </c>
      <c r="T26" s="12">
        <f>IF(S26="","",IF(AND(S26&lt;&gt;"да",S26&lt;&gt;"нет"),"",IF(S26="да",0,IF(S26="нет",5))))</f>
      </c>
      <c r="U26" s="17"/>
      <c r="V26" s="81"/>
      <c r="W26" s="17"/>
    </row>
    <row r="27" spans="1:23" s="22" customFormat="1" ht="20.25">
      <c r="A27" s="54"/>
      <c r="B27" s="80"/>
      <c r="C27" s="32" t="s">
        <v>125</v>
      </c>
      <c r="D27" s="33" t="s">
        <v>209</v>
      </c>
      <c r="E27" s="40">
        <v>0</v>
      </c>
      <c r="F27" s="35" t="s">
        <v>106</v>
      </c>
      <c r="G27" s="36"/>
      <c r="H27" s="37">
        <v>0.03</v>
      </c>
      <c r="I27" s="35">
        <v>0.03</v>
      </c>
      <c r="J27" s="36" t="s">
        <v>103</v>
      </c>
      <c r="K27" s="37">
        <v>0.05</v>
      </c>
      <c r="L27" s="35">
        <v>0.05</v>
      </c>
      <c r="M27" s="36" t="s">
        <v>103</v>
      </c>
      <c r="N27" s="37">
        <v>0.1</v>
      </c>
      <c r="O27" s="35">
        <v>0.1</v>
      </c>
      <c r="P27" s="36" t="s">
        <v>103</v>
      </c>
      <c r="Q27" s="37">
        <v>0.15</v>
      </c>
      <c r="R27" s="45" t="s">
        <v>272</v>
      </c>
      <c r="S27" s="10">
        <f>РБ2</f>
        <v>0.09090909090909091</v>
      </c>
      <c r="T27" s="12">
        <f>IF(OR(S27="",ISTEXT(S27)),"",IF(S27=$E27,0,IF(S27&lt;$H27,1,IF(S27&lt;$I27,1,IF(S27&lt;$L27,2,IF(S27&lt;$O27,3,IF(S27&lt;=$Q27,4,IF(S27&gt;$Q27,5))))))))</f>
        <v>3</v>
      </c>
      <c r="U27" s="17"/>
      <c r="V27" s="81"/>
      <c r="W27" s="17"/>
    </row>
    <row r="28" spans="1:23" s="22" customFormat="1" ht="52.5" customHeight="1">
      <c r="A28" s="54"/>
      <c r="B28" s="80"/>
      <c r="C28" s="32" t="s">
        <v>126</v>
      </c>
      <c r="D28" s="33" t="s">
        <v>367</v>
      </c>
      <c r="E28" s="34" t="s">
        <v>206</v>
      </c>
      <c r="F28" s="35">
        <v>0.3</v>
      </c>
      <c r="G28" s="36" t="s">
        <v>103</v>
      </c>
      <c r="H28" s="37">
        <v>0.5</v>
      </c>
      <c r="I28" s="35">
        <v>0.5</v>
      </c>
      <c r="J28" s="36" t="s">
        <v>103</v>
      </c>
      <c r="K28" s="37">
        <v>0.7</v>
      </c>
      <c r="L28" s="35">
        <v>0.7</v>
      </c>
      <c r="M28" s="36" t="s">
        <v>103</v>
      </c>
      <c r="N28" s="37">
        <v>0.85</v>
      </c>
      <c r="O28" s="35">
        <v>0.85</v>
      </c>
      <c r="P28" s="36" t="s">
        <v>103</v>
      </c>
      <c r="Q28" s="37">
        <v>1</v>
      </c>
      <c r="R28" s="40">
        <v>1</v>
      </c>
      <c r="S28" s="10">
        <f>РБ3</f>
        <v>0.9318181818181818</v>
      </c>
      <c r="T28" s="12">
        <f>IF(OR(S28="",ISTEXT(S28)),"",IF(S28&lt;$F28,0,IF(S28&lt;$I28,1,IF(S28&lt;$L28,2,IF(S28&lt;$O28,3,IF(S28&lt;$Q28,4,5))))))</f>
        <v>4</v>
      </c>
      <c r="U28" s="17"/>
      <c r="V28" s="81"/>
      <c r="W28" s="17"/>
    </row>
    <row r="29" spans="1:23" s="22" customFormat="1" ht="30">
      <c r="A29" s="54"/>
      <c r="B29" s="80"/>
      <c r="C29" s="32" t="s">
        <v>127</v>
      </c>
      <c r="D29" s="33" t="s">
        <v>210</v>
      </c>
      <c r="E29" s="34" t="s">
        <v>206</v>
      </c>
      <c r="F29" s="35">
        <v>0.3</v>
      </c>
      <c r="G29" s="36" t="s">
        <v>103</v>
      </c>
      <c r="H29" s="37">
        <v>0.5</v>
      </c>
      <c r="I29" s="35">
        <v>0.5</v>
      </c>
      <c r="J29" s="36" t="s">
        <v>103</v>
      </c>
      <c r="K29" s="37">
        <v>0.7</v>
      </c>
      <c r="L29" s="35">
        <v>0.7</v>
      </c>
      <c r="M29" s="36" t="s">
        <v>103</v>
      </c>
      <c r="N29" s="37">
        <v>0.85</v>
      </c>
      <c r="O29" s="35">
        <v>0.85</v>
      </c>
      <c r="P29" s="36" t="s">
        <v>103</v>
      </c>
      <c r="Q29" s="37">
        <v>1</v>
      </c>
      <c r="R29" s="40">
        <v>1</v>
      </c>
      <c r="S29" s="10">
        <f>РБ4</f>
        <v>1</v>
      </c>
      <c r="T29" s="12">
        <f>IF(OR(S29="",ISTEXT(S29)),"",IF(S29&lt;$F29,0,IF(S29&lt;$I29,1,IF(S29&lt;$L29,2,IF(S29&lt;$O29,3,IF(S29&lt;$Q29,4,5))))))</f>
        <v>5</v>
      </c>
      <c r="U29" s="17"/>
      <c r="V29" s="81"/>
      <c r="W29" s="17"/>
    </row>
    <row r="30" spans="1:23" s="22" customFormat="1" ht="24.75" customHeight="1">
      <c r="A30" s="54"/>
      <c r="B30" s="80"/>
      <c r="C30" s="32" t="s">
        <v>213</v>
      </c>
      <c r="D30" s="33" t="s">
        <v>216</v>
      </c>
      <c r="E30" s="34" t="s">
        <v>113</v>
      </c>
      <c r="F30" s="35"/>
      <c r="G30" s="36"/>
      <c r="H30" s="37"/>
      <c r="I30" s="35"/>
      <c r="J30" s="36"/>
      <c r="K30" s="37"/>
      <c r="L30" s="35"/>
      <c r="M30" s="36"/>
      <c r="N30" s="37"/>
      <c r="O30" s="35"/>
      <c r="P30" s="36"/>
      <c r="Q30" s="37"/>
      <c r="R30" s="40" t="s">
        <v>114</v>
      </c>
      <c r="S30" s="10" t="str">
        <f>РБ5</f>
        <v>да</v>
      </c>
      <c r="T30" s="12">
        <f>IF(S30="","",IF(AND(S30&lt;&gt;"да",S30&lt;&gt;"нет"),"",IF(S30="да",5,IF(S30="нет",0))))</f>
        <v>5</v>
      </c>
      <c r="U30" s="17"/>
      <c r="V30" s="81"/>
      <c r="W30" s="17"/>
    </row>
    <row r="31" spans="1:23" s="22" customFormat="1" ht="20.25">
      <c r="A31" s="54"/>
      <c r="B31" s="80"/>
      <c r="C31" s="32" t="s">
        <v>214</v>
      </c>
      <c r="D31" s="33" t="s">
        <v>137</v>
      </c>
      <c r="E31" s="34" t="s">
        <v>129</v>
      </c>
      <c r="F31" s="35">
        <v>0.2</v>
      </c>
      <c r="G31" s="36" t="s">
        <v>103</v>
      </c>
      <c r="H31" s="37">
        <v>0.4</v>
      </c>
      <c r="I31" s="35">
        <v>0.4</v>
      </c>
      <c r="J31" s="36" t="s">
        <v>103</v>
      </c>
      <c r="K31" s="37">
        <v>0.6</v>
      </c>
      <c r="L31" s="35">
        <v>0.6</v>
      </c>
      <c r="M31" s="36" t="s">
        <v>103</v>
      </c>
      <c r="N31" s="37">
        <v>0.7</v>
      </c>
      <c r="O31" s="35">
        <v>0.7</v>
      </c>
      <c r="P31" s="36" t="s">
        <v>103</v>
      </c>
      <c r="Q31" s="37">
        <v>0.8</v>
      </c>
      <c r="R31" s="40" t="s">
        <v>136</v>
      </c>
      <c r="S31" s="10">
        <f>РБ6</f>
        <v>1</v>
      </c>
      <c r="T31" s="12">
        <f>IF(OR(S31="",ISTEXT(S31)),"",IF(S31&lt;$F31,0,IF(S31&lt;$I31,1,IF(S31&lt;$L31,2,IF(S31&lt;$O31,3,IF(S31&lt;$Q31,4,5))))))</f>
        <v>5</v>
      </c>
      <c r="U31" s="17"/>
      <c r="V31" s="81"/>
      <c r="W31" s="17"/>
    </row>
    <row r="32" spans="1:23" s="22" customFormat="1" ht="30">
      <c r="A32" s="54"/>
      <c r="B32" s="80"/>
      <c r="C32" s="32" t="s">
        <v>215</v>
      </c>
      <c r="D32" s="33" t="s">
        <v>217</v>
      </c>
      <c r="E32" s="34" t="s">
        <v>206</v>
      </c>
      <c r="F32" s="35">
        <v>0.3</v>
      </c>
      <c r="G32" s="36" t="s">
        <v>103</v>
      </c>
      <c r="H32" s="37">
        <v>0.5</v>
      </c>
      <c r="I32" s="35">
        <v>0.5</v>
      </c>
      <c r="J32" s="36" t="s">
        <v>103</v>
      </c>
      <c r="K32" s="37">
        <v>0.7</v>
      </c>
      <c r="L32" s="35">
        <v>0.7</v>
      </c>
      <c r="M32" s="36" t="s">
        <v>103</v>
      </c>
      <c r="N32" s="37">
        <v>0.85</v>
      </c>
      <c r="O32" s="35">
        <v>0.85</v>
      </c>
      <c r="P32" s="36" t="s">
        <v>103</v>
      </c>
      <c r="Q32" s="37">
        <v>1</v>
      </c>
      <c r="R32" s="40">
        <v>1</v>
      </c>
      <c r="S32" s="10">
        <f>РБ7</f>
        <v>1</v>
      </c>
      <c r="T32" s="12">
        <f>IF(OR(S32="",ISTEXT(S32)),"",IF(S32&lt;$F32,0,IF(S32&lt;$I32,1,IF(S32&lt;$L32,2,IF(S32&lt;$O32,3,IF(S32&lt;$Q32,4,5))))))</f>
        <v>5</v>
      </c>
      <c r="U32" s="17"/>
      <c r="V32" s="81"/>
      <c r="W32" s="17"/>
    </row>
    <row r="33" spans="1:23" s="22" customFormat="1" ht="33.75" customHeight="1">
      <c r="A33" s="54"/>
      <c r="B33" s="80"/>
      <c r="C33" s="32" t="s">
        <v>211</v>
      </c>
      <c r="D33" s="33" t="s">
        <v>382</v>
      </c>
      <c r="E33" s="34" t="s">
        <v>113</v>
      </c>
      <c r="F33" s="175" t="s">
        <v>110</v>
      </c>
      <c r="G33" s="176"/>
      <c r="H33" s="177"/>
      <c r="I33" s="35">
        <v>0.05</v>
      </c>
      <c r="J33" s="36" t="s">
        <v>103</v>
      </c>
      <c r="K33" s="37">
        <v>0.1</v>
      </c>
      <c r="L33" s="35">
        <v>0.1</v>
      </c>
      <c r="M33" s="36" t="s">
        <v>103</v>
      </c>
      <c r="N33" s="37">
        <v>0.15</v>
      </c>
      <c r="O33" s="35">
        <v>0.15</v>
      </c>
      <c r="P33" s="36" t="s">
        <v>103</v>
      </c>
      <c r="Q33" s="37">
        <v>0.2</v>
      </c>
      <c r="R33" s="40" t="s">
        <v>184</v>
      </c>
      <c r="S33" s="10">
        <f>РБ8</f>
        <v>0.1419258604496989</v>
      </c>
      <c r="T33" s="12">
        <f>IF(OR(S33="",ISTEXT(S33)),"",IF(S33="",0,IF(S33&lt;$I33,1,IF(S33&lt;$K33,2,IF(S33&lt;$N33,3,IF(S33&lt;$Q33,4,IF(S33&gt;=$Q33,5)))))))</f>
        <v>3</v>
      </c>
      <c r="U33" s="17"/>
      <c r="V33" s="81"/>
      <c r="W33" s="17"/>
    </row>
    <row r="34" spans="1:23" s="22" customFormat="1" ht="17.25" customHeight="1">
      <c r="A34" s="54"/>
      <c r="B34" s="80"/>
      <c r="C34" s="32" t="s">
        <v>212</v>
      </c>
      <c r="D34" s="33" t="s">
        <v>218</v>
      </c>
      <c r="E34" s="34" t="s">
        <v>113</v>
      </c>
      <c r="F34" s="175" t="s">
        <v>110</v>
      </c>
      <c r="G34" s="176"/>
      <c r="H34" s="177"/>
      <c r="I34" s="35">
        <v>0.05</v>
      </c>
      <c r="J34" s="36" t="s">
        <v>103</v>
      </c>
      <c r="K34" s="37">
        <v>0.1</v>
      </c>
      <c r="L34" s="35">
        <v>0.1</v>
      </c>
      <c r="M34" s="36" t="s">
        <v>103</v>
      </c>
      <c r="N34" s="37">
        <v>0.15</v>
      </c>
      <c r="O34" s="35">
        <v>0.15</v>
      </c>
      <c r="P34" s="36" t="s">
        <v>103</v>
      </c>
      <c r="Q34" s="37">
        <v>0.2</v>
      </c>
      <c r="R34" s="40" t="s">
        <v>184</v>
      </c>
      <c r="S34" s="10">
        <f>РБ9</f>
        <v>-0.14642857142857146</v>
      </c>
      <c r="T34" s="12">
        <f>IF(OR(S34="",ISTEXT(S34)),"",IF(S34="",0,IF(S34&lt;$I34,1,IF(S34&lt;$K34,2,IF(S34&lt;$N34,3,IF(S34&lt;$Q34,4,IF(S34&gt;=$Q34,5)))))))</f>
        <v>1</v>
      </c>
      <c r="U34" s="17"/>
      <c r="V34" s="82"/>
      <c r="W34" s="17"/>
    </row>
    <row r="35" spans="1:23" s="22" customFormat="1" ht="9.75">
      <c r="A35" s="54"/>
      <c r="B35" s="80"/>
      <c r="C35" s="46" t="s">
        <v>130</v>
      </c>
      <c r="D35" s="50" t="s">
        <v>381</v>
      </c>
      <c r="E35" s="50"/>
      <c r="F35" s="50"/>
      <c r="G35" s="50"/>
      <c r="H35" s="50"/>
      <c r="I35" s="50"/>
      <c r="J35" s="50"/>
      <c r="K35" s="50"/>
      <c r="L35" s="50"/>
      <c r="M35" s="50"/>
      <c r="N35" s="50"/>
      <c r="O35" s="50"/>
      <c r="P35" s="50"/>
      <c r="Q35" s="50"/>
      <c r="R35" s="49" t="s">
        <v>100</v>
      </c>
      <c r="S35" s="155"/>
      <c r="T35" s="3">
        <f>IF(COUNT(T36:T41)&gt;0,SUM(T36:T41),"")</f>
        <v>24</v>
      </c>
      <c r="U35" s="17"/>
      <c r="V35" s="81"/>
      <c r="W35" s="17"/>
    </row>
    <row r="36" spans="1:23" s="22" customFormat="1" ht="30">
      <c r="A36" s="54"/>
      <c r="B36" s="80"/>
      <c r="C36" s="32" t="s">
        <v>131</v>
      </c>
      <c r="D36" s="33" t="s">
        <v>259</v>
      </c>
      <c r="E36" s="34" t="s">
        <v>113</v>
      </c>
      <c r="F36" s="42"/>
      <c r="G36" s="36"/>
      <c r="H36" s="44"/>
      <c r="I36" s="42"/>
      <c r="J36" s="36"/>
      <c r="K36" s="44"/>
      <c r="L36" s="51"/>
      <c r="M36" s="52"/>
      <c r="N36" s="53"/>
      <c r="O36" s="35"/>
      <c r="P36" s="36"/>
      <c r="Q36" s="37"/>
      <c r="R36" s="40" t="s">
        <v>114</v>
      </c>
      <c r="S36" s="156" t="str">
        <f>ИС1</f>
        <v>да</v>
      </c>
      <c r="T36" s="12">
        <f>IF(S36="","",IF(AND(S36&lt;&gt;"да",S36&lt;&gt;"нет"),"",IF(S36="да",5,IF(S36="нет",0))))</f>
        <v>5</v>
      </c>
      <c r="U36" s="17"/>
      <c r="V36" s="82">
        <f>IF(S36="","",IF(AND(S36&lt;&gt;"",S36&lt;&gt;"да",S36&lt;&gt;"нет"),"!! Неверное значение. Укажите ДА или НЕТ",""))</f>
      </c>
      <c r="W36" s="17"/>
    </row>
    <row r="37" spans="1:23" s="22" customFormat="1" ht="31.5" customHeight="1">
      <c r="A37" s="54"/>
      <c r="B37" s="80"/>
      <c r="C37" s="32" t="s">
        <v>132</v>
      </c>
      <c r="D37" s="33" t="s">
        <v>219</v>
      </c>
      <c r="E37" s="34" t="s">
        <v>113</v>
      </c>
      <c r="F37" s="42"/>
      <c r="G37" s="36"/>
      <c r="H37" s="44"/>
      <c r="I37" s="42"/>
      <c r="J37" s="36"/>
      <c r="K37" s="44"/>
      <c r="L37" s="172" t="s">
        <v>114</v>
      </c>
      <c r="M37" s="173"/>
      <c r="N37" s="174"/>
      <c r="O37" s="35"/>
      <c r="P37" s="36"/>
      <c r="Q37" s="37"/>
      <c r="R37" s="40"/>
      <c r="S37" s="156" t="str">
        <f>ИС2</f>
        <v>да</v>
      </c>
      <c r="T37" s="12">
        <f>IF(S37="","",IF(AND(S37&lt;&gt;"да",S37&lt;&gt;"нет"),"",IF(S37="да",3,IF(S37="нет",0))))</f>
        <v>3</v>
      </c>
      <c r="U37" s="17"/>
      <c r="V37" s="82">
        <f>IF(S37="","",IF(AND(S37&lt;&gt;"",S37&lt;&gt;"да",S37&lt;&gt;"нет"),"!! Неверное значение. Укажите ДА или НЕТ",""))</f>
      </c>
      <c r="W37" s="17"/>
    </row>
    <row r="38" spans="1:23" s="22" customFormat="1" ht="31.5" customHeight="1">
      <c r="A38" s="54"/>
      <c r="B38" s="80"/>
      <c r="C38" s="32" t="s">
        <v>133</v>
      </c>
      <c r="D38" s="33" t="s">
        <v>220</v>
      </c>
      <c r="E38" s="34" t="s">
        <v>206</v>
      </c>
      <c r="F38" s="35">
        <v>0.3</v>
      </c>
      <c r="G38" s="36" t="s">
        <v>103</v>
      </c>
      <c r="H38" s="37">
        <v>0.5</v>
      </c>
      <c r="I38" s="35">
        <v>0.5</v>
      </c>
      <c r="J38" s="36" t="s">
        <v>103</v>
      </c>
      <c r="K38" s="37">
        <v>0.7</v>
      </c>
      <c r="L38" s="35">
        <v>0.7</v>
      </c>
      <c r="M38" s="36" t="s">
        <v>103</v>
      </c>
      <c r="N38" s="37">
        <v>0.85</v>
      </c>
      <c r="O38" s="35">
        <v>0.85</v>
      </c>
      <c r="P38" s="36" t="s">
        <v>103</v>
      </c>
      <c r="Q38" s="37">
        <v>1</v>
      </c>
      <c r="R38" s="40">
        <v>1</v>
      </c>
      <c r="S38" s="10">
        <f>ИС3</f>
        <v>1</v>
      </c>
      <c r="T38" s="12">
        <f>IF(OR(S38="",ISTEXT(S38)),"",IF(S38&lt;$F38,0,IF(S38&lt;$I38,1,IF(S38&lt;$L38,2,IF(S38&lt;$O38,3,IF(S38&lt;$Q38,4,5))))))</f>
        <v>5</v>
      </c>
      <c r="U38" s="17"/>
      <c r="V38" s="82"/>
      <c r="W38" s="17"/>
    </row>
    <row r="39" spans="1:23" s="22" customFormat="1" ht="31.5" customHeight="1">
      <c r="A39" s="54"/>
      <c r="B39" s="80"/>
      <c r="C39" s="32" t="s">
        <v>134</v>
      </c>
      <c r="D39" s="33" t="s">
        <v>267</v>
      </c>
      <c r="E39" s="34" t="s">
        <v>113</v>
      </c>
      <c r="F39" s="42"/>
      <c r="G39" s="36"/>
      <c r="H39" s="44"/>
      <c r="I39" s="42"/>
      <c r="J39" s="36"/>
      <c r="K39" s="44"/>
      <c r="L39" s="51"/>
      <c r="M39" s="52"/>
      <c r="N39" s="53"/>
      <c r="O39" s="35"/>
      <c r="P39" s="36"/>
      <c r="Q39" s="37" t="s">
        <v>114</v>
      </c>
      <c r="R39" s="40"/>
      <c r="S39" s="156" t="str">
        <f>ИС4</f>
        <v>да</v>
      </c>
      <c r="T39" s="12">
        <f>IF(S39="","",IF(AND(S39&lt;&gt;"да",S39&lt;&gt;"нет"),"",IF(S39="да",4,IF(S39="нет",0))))</f>
        <v>4</v>
      </c>
      <c r="U39" s="17"/>
      <c r="V39" s="82"/>
      <c r="W39" s="17"/>
    </row>
    <row r="40" spans="1:23" s="22" customFormat="1" ht="31.5" customHeight="1">
      <c r="A40" s="54"/>
      <c r="B40" s="80"/>
      <c r="C40" s="32" t="s">
        <v>135</v>
      </c>
      <c r="D40" s="33" t="s">
        <v>376</v>
      </c>
      <c r="E40" s="34" t="s">
        <v>113</v>
      </c>
      <c r="F40" s="42"/>
      <c r="G40" s="36"/>
      <c r="H40" s="44"/>
      <c r="I40" s="42"/>
      <c r="J40" s="36"/>
      <c r="K40" s="44"/>
      <c r="L40" s="172" t="s">
        <v>114</v>
      </c>
      <c r="M40" s="173"/>
      <c r="N40" s="174"/>
      <c r="O40" s="35"/>
      <c r="P40" s="36"/>
      <c r="Q40" s="37"/>
      <c r="R40" s="40"/>
      <c r="S40" s="156" t="str">
        <f>ИС5</f>
        <v>да</v>
      </c>
      <c r="T40" s="12">
        <f>IF(S40="","",IF(AND(S40&lt;&gt;"да",S40&lt;&gt;"нет"),"",IF(S40="да",3,IF(S40="нет",0))))</f>
        <v>3</v>
      </c>
      <c r="U40" s="17"/>
      <c r="V40" s="82"/>
      <c r="W40" s="17"/>
    </row>
    <row r="41" spans="1:23" s="22" customFormat="1" ht="31.5" customHeight="1" thickBot="1">
      <c r="A41" s="54"/>
      <c r="B41" s="80"/>
      <c r="C41" s="32" t="s">
        <v>221</v>
      </c>
      <c r="D41" s="33" t="s">
        <v>222</v>
      </c>
      <c r="E41" s="40">
        <v>0</v>
      </c>
      <c r="F41" s="35" t="s">
        <v>276</v>
      </c>
      <c r="G41" s="36"/>
      <c r="H41" s="37">
        <v>0.2</v>
      </c>
      <c r="I41" s="35">
        <v>0.2</v>
      </c>
      <c r="J41" s="36" t="s">
        <v>103</v>
      </c>
      <c r="K41" s="37">
        <v>0.5</v>
      </c>
      <c r="L41" s="35">
        <v>0.5</v>
      </c>
      <c r="M41" s="36" t="s">
        <v>103</v>
      </c>
      <c r="N41" s="37">
        <v>0.8</v>
      </c>
      <c r="O41" s="35">
        <v>0.8</v>
      </c>
      <c r="P41" s="36" t="s">
        <v>103</v>
      </c>
      <c r="Q41" s="37">
        <v>0.95</v>
      </c>
      <c r="R41" s="40" t="s">
        <v>277</v>
      </c>
      <c r="S41" s="10">
        <f>ИС6</f>
        <v>0.9318181818181818</v>
      </c>
      <c r="T41" s="12">
        <f>IF(OR(S41="",ISTEXT(S41)),"",IF(S41=$E41,0,IF(S41&lt;$H41,1,IF(S41&lt;$I41,1,IF(S41&lt;$L41,2,IF(S41&lt;$O41,3,IF(S41&lt;$Q41,4,IF(S41&gt;=$Q41,5))))))))</f>
        <v>4</v>
      </c>
      <c r="U41" s="17"/>
      <c r="V41" s="81"/>
      <c r="W41" s="17"/>
    </row>
    <row r="42" spans="1:23" s="22" customFormat="1" ht="41.25" customHeight="1" thickBot="1">
      <c r="A42" s="21" t="s">
        <v>89</v>
      </c>
      <c r="C42" s="83"/>
      <c r="D42" s="84" t="s">
        <v>175</v>
      </c>
      <c r="E42" s="85"/>
      <c r="F42" s="85"/>
      <c r="G42" s="85"/>
      <c r="H42" s="85"/>
      <c r="I42" s="85"/>
      <c r="J42" s="85"/>
      <c r="K42" s="85"/>
      <c r="L42" s="85"/>
      <c r="M42" s="85"/>
      <c r="N42" s="85"/>
      <c r="O42" s="85"/>
      <c r="P42" s="85"/>
      <c r="Q42" s="85"/>
      <c r="R42" s="85"/>
      <c r="S42" s="157"/>
      <c r="T42" s="14">
        <f>SUM(T36:T41,T7:T13,T15:T24,T27:T34)</f>
        <v>113</v>
      </c>
      <c r="U42" s="17"/>
      <c r="V42" s="72"/>
      <c r="W42" s="17"/>
    </row>
    <row r="43" spans="1:23" s="22" customFormat="1" ht="9.75">
      <c r="A43" s="21" t="s">
        <v>89</v>
      </c>
      <c r="C43" s="86" t="s">
        <v>138</v>
      </c>
      <c r="D43" s="87"/>
      <c r="E43" s="17"/>
      <c r="F43" s="17"/>
      <c r="G43" s="17"/>
      <c r="H43" s="17"/>
      <c r="I43" s="17"/>
      <c r="J43" s="17"/>
      <c r="K43" s="17"/>
      <c r="L43" s="17"/>
      <c r="M43" s="17"/>
      <c r="N43" s="17"/>
      <c r="O43" s="17"/>
      <c r="P43" s="17"/>
      <c r="Q43" s="17"/>
      <c r="R43" s="17"/>
      <c r="S43" s="17"/>
      <c r="T43" s="148"/>
      <c r="U43" s="17"/>
      <c r="V43" s="72"/>
      <c r="W43" s="17"/>
    </row>
    <row r="44" spans="1:23" s="22" customFormat="1" ht="9.75">
      <c r="A44" s="21" t="s">
        <v>89</v>
      </c>
      <c r="C44" s="88"/>
      <c r="D44" s="89" t="s">
        <v>139</v>
      </c>
      <c r="E44" s="17"/>
      <c r="F44" s="17"/>
      <c r="G44" s="17"/>
      <c r="H44" s="17"/>
      <c r="I44" s="17"/>
      <c r="J44" s="17"/>
      <c r="K44" s="17"/>
      <c r="L44" s="17"/>
      <c r="M44" s="17"/>
      <c r="N44" s="17"/>
      <c r="O44" s="17"/>
      <c r="P44" s="17"/>
      <c r="Q44" s="17"/>
      <c r="R44" s="17"/>
      <c r="S44" s="17"/>
      <c r="T44" s="17"/>
      <c r="U44" s="17"/>
      <c r="V44" s="72"/>
      <c r="W44" s="17"/>
    </row>
    <row r="45" spans="1:23" s="22" customFormat="1" ht="9.75">
      <c r="A45" s="21" t="s">
        <v>89</v>
      </c>
      <c r="C45" s="88"/>
      <c r="D45" s="89" t="s">
        <v>140</v>
      </c>
      <c r="E45" s="17"/>
      <c r="F45" s="17"/>
      <c r="G45" s="17"/>
      <c r="H45" s="17"/>
      <c r="I45" s="17"/>
      <c r="J45" s="17"/>
      <c r="K45" s="17"/>
      <c r="L45" s="17"/>
      <c r="M45" s="17"/>
      <c r="N45" s="17"/>
      <c r="O45" s="17"/>
      <c r="P45" s="17"/>
      <c r="Q45" s="17"/>
      <c r="R45" s="17"/>
      <c r="S45" s="17"/>
      <c r="T45" s="17"/>
      <c r="U45" s="17"/>
      <c r="V45" s="72"/>
      <c r="W45" s="17"/>
    </row>
    <row r="47" ht="40.5">
      <c r="D47" s="91" t="s">
        <v>582</v>
      </c>
    </row>
  </sheetData>
  <sheetProtection password="CF7A" sheet="1" objects="1" scenarios="1"/>
  <mergeCells count="12">
    <mergeCell ref="E3:H3"/>
    <mergeCell ref="S4:T4"/>
    <mergeCell ref="F33:H33"/>
    <mergeCell ref="F34:H34"/>
    <mergeCell ref="L37:N37"/>
    <mergeCell ref="O15:Q15"/>
    <mergeCell ref="L40:N40"/>
    <mergeCell ref="L21:N21"/>
    <mergeCell ref="L22:N22"/>
    <mergeCell ref="L23:N23"/>
    <mergeCell ref="O17:Q17"/>
    <mergeCell ref="O18:Q18"/>
  </mergeCells>
  <printOptions/>
  <pageMargins left="0.7086614173228347" right="0.7086614173228347" top="0.7480314960629921" bottom="0.7480314960629921" header="0.31496062992125984" footer="0.31496062992125984"/>
  <pageSetup horizontalDpi="600" verticalDpi="600" orientation="landscape" paperSize="9" scale="79" r:id="rId5"/>
  <colBreaks count="1" manualBreakCount="1">
    <brk id="20" max="65535" man="1"/>
  </colBreaks>
  <legacyDrawing r:id="rId4"/>
  <oleObjects>
    <oleObject progId="Equation.3" shapeId="716954" r:id="rId1"/>
    <oleObject progId="Equation.3" shapeId="716953" r:id="rId2"/>
    <oleObject progId="Equation.3" shapeId="716952" r:id="rId3"/>
  </oleObjects>
</worksheet>
</file>

<file path=xl/worksheets/sheet10.xml><?xml version="1.0" encoding="utf-8"?>
<worksheet xmlns="http://schemas.openxmlformats.org/spreadsheetml/2006/main" xmlns:r="http://schemas.openxmlformats.org/officeDocument/2006/relationships">
  <dimension ref="A1:G18"/>
  <sheetViews>
    <sheetView zoomScalePageLayoutView="0" workbookViewId="0" topLeftCell="D1">
      <selection activeCell="D6" sqref="D6"/>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46.421875" style="22" customWidth="1"/>
    <col min="6" max="6" width="0.9921875" style="1" customWidth="1"/>
    <col min="7" max="7" width="76.57421875" style="22" bestFit="1" customWidth="1"/>
    <col min="8" max="16384" width="9.28125" style="22" customWidth="1"/>
  </cols>
  <sheetData>
    <row r="1" spans="1:3" ht="9.75">
      <c r="A1" s="54" t="s">
        <v>89</v>
      </c>
      <c r="C1" s="55"/>
    </row>
    <row r="2" spans="1:5" ht="27" customHeight="1" thickBot="1">
      <c r="A2" s="54" t="s">
        <v>89</v>
      </c>
      <c r="C2" s="184" t="s">
        <v>236</v>
      </c>
      <c r="D2" s="184"/>
      <c r="E2" s="184"/>
    </row>
    <row r="3" spans="1:7" s="67" customFormat="1" ht="9.75">
      <c r="A3" s="62" t="s">
        <v>89</v>
      </c>
      <c r="C3" s="64"/>
      <c r="D3" s="96" t="s">
        <v>386</v>
      </c>
      <c r="E3" s="129"/>
      <c r="F3" s="2"/>
      <c r="G3" s="22"/>
    </row>
    <row r="4" spans="1:6" ht="30.75" customHeight="1">
      <c r="A4" s="21" t="s">
        <v>92</v>
      </c>
      <c r="C4" s="99" t="s">
        <v>142</v>
      </c>
      <c r="D4" s="150" t="s">
        <v>394</v>
      </c>
      <c r="E4" s="68" t="s">
        <v>387</v>
      </c>
      <c r="F4" s="151"/>
    </row>
    <row r="5" spans="1:7" ht="28.5" customHeight="1">
      <c r="A5" s="21" t="s">
        <v>89</v>
      </c>
      <c r="C5" s="32" t="s">
        <v>164</v>
      </c>
      <c r="D5" s="136" t="s">
        <v>388</v>
      </c>
      <c r="E5" s="6" t="s">
        <v>785</v>
      </c>
      <c r="F5" s="5">
        <f>COUNTBLANK(E5:E9)</f>
        <v>0</v>
      </c>
      <c r="G5" s="81"/>
    </row>
    <row r="6" spans="3:7" ht="40.5">
      <c r="C6" s="32" t="s">
        <v>160</v>
      </c>
      <c r="D6" s="136" t="s">
        <v>389</v>
      </c>
      <c r="E6" s="6" t="s">
        <v>785</v>
      </c>
      <c r="G6" s="81"/>
    </row>
    <row r="7" spans="3:7" ht="20.25">
      <c r="C7" s="32">
        <v>3</v>
      </c>
      <c r="D7" s="136" t="s">
        <v>390</v>
      </c>
      <c r="E7" s="6" t="s">
        <v>785</v>
      </c>
      <c r="G7" s="81"/>
    </row>
    <row r="8" spans="3:5" ht="30">
      <c r="C8" s="32">
        <v>4</v>
      </c>
      <c r="D8" s="136" t="s">
        <v>391</v>
      </c>
      <c r="E8" s="6" t="s">
        <v>785</v>
      </c>
    </row>
    <row r="9" spans="3:5" ht="61.5" thickBot="1">
      <c r="C9" s="32">
        <v>5</v>
      </c>
      <c r="D9" s="136" t="s">
        <v>392</v>
      </c>
      <c r="E9" s="6" t="s">
        <v>785</v>
      </c>
    </row>
    <row r="10" spans="3:5" ht="10.5" thickBot="1">
      <c r="C10" s="88"/>
      <c r="D10" s="137"/>
      <c r="E10" s="7" t="str">
        <f>+IF(F5="","",(IF(F5=0,"да","нет")))</f>
        <v>да</v>
      </c>
    </row>
    <row r="11" spans="3:5" ht="10.5" thickBot="1">
      <c r="C11" s="106" t="s">
        <v>90</v>
      </c>
      <c r="D11" s="106"/>
      <c r="E11" s="106"/>
    </row>
    <row r="13" spans="3:5" ht="9.75">
      <c r="C13" s="185"/>
      <c r="D13" s="185"/>
      <c r="E13" s="185"/>
    </row>
    <row r="15" spans="1:6" s="107" customFormat="1" ht="15" customHeight="1">
      <c r="A15" s="143"/>
      <c r="C15" s="107" t="s">
        <v>147</v>
      </c>
      <c r="D15" s="186" t="s">
        <v>163</v>
      </c>
      <c r="E15" s="186"/>
      <c r="F15" s="4"/>
    </row>
    <row r="16" spans="3:5" ht="34.5" customHeight="1">
      <c r="C16" s="107" t="s">
        <v>154</v>
      </c>
      <c r="D16" s="186" t="s">
        <v>167</v>
      </c>
      <c r="E16" s="186"/>
    </row>
    <row r="17" spans="3:5" ht="18" customHeight="1">
      <c r="C17" s="107" t="s">
        <v>155</v>
      </c>
      <c r="D17" s="186" t="s">
        <v>585</v>
      </c>
      <c r="E17" s="186"/>
    </row>
    <row r="18" ht="9.75">
      <c r="C18" s="107"/>
    </row>
  </sheetData>
  <sheetProtection password="CF7A" sheet="1" objects="1" scenarios="1"/>
  <mergeCells count="5">
    <mergeCell ref="D17:E17"/>
    <mergeCell ref="C2:E2"/>
    <mergeCell ref="C13:E13"/>
    <mergeCell ref="D15:E15"/>
    <mergeCell ref="D16:E1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7"/>
  <sheetViews>
    <sheetView zoomScalePageLayoutView="0" workbookViewId="0" topLeftCell="B1">
      <selection activeCell="G7" sqref="G7"/>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51.57421875" style="22" customWidth="1"/>
    <col min="6" max="6" width="1.421875" style="1" customWidth="1"/>
    <col min="7" max="7" width="76.57421875" style="22" bestFit="1" customWidth="1"/>
    <col min="8" max="16384" width="9.28125" style="22" customWidth="1"/>
  </cols>
  <sheetData>
    <row r="1" spans="1:3" ht="9.75">
      <c r="A1" s="54" t="s">
        <v>89</v>
      </c>
      <c r="C1" s="55"/>
    </row>
    <row r="2" spans="1:5" ht="27" customHeight="1" thickBot="1">
      <c r="A2" s="54" t="s">
        <v>89</v>
      </c>
      <c r="C2" s="184" t="s">
        <v>236</v>
      </c>
      <c r="D2" s="184"/>
      <c r="E2" s="184"/>
    </row>
    <row r="3" spans="1:7" s="67" customFormat="1" ht="9.75">
      <c r="A3" s="62" t="s">
        <v>89</v>
      </c>
      <c r="C3" s="64"/>
      <c r="D3" s="96" t="s">
        <v>587</v>
      </c>
      <c r="E3" s="129"/>
      <c r="F3" s="2"/>
      <c r="G3" s="22"/>
    </row>
    <row r="4" spans="1:5" ht="30.75" customHeight="1">
      <c r="A4" s="21" t="s">
        <v>92</v>
      </c>
      <c r="C4" s="99" t="s">
        <v>142</v>
      </c>
      <c r="D4" s="150" t="s">
        <v>393</v>
      </c>
      <c r="E4" s="101" t="s">
        <v>387</v>
      </c>
    </row>
    <row r="5" spans="1:7" ht="28.5" customHeight="1">
      <c r="A5" s="21" t="s">
        <v>89</v>
      </c>
      <c r="C5" s="32" t="s">
        <v>164</v>
      </c>
      <c r="D5" s="136" t="s">
        <v>395</v>
      </c>
      <c r="E5" s="6" t="s">
        <v>774</v>
      </c>
      <c r="F5" s="5">
        <f>COUNTBLANK(E5:E8)</f>
        <v>0</v>
      </c>
      <c r="G5" s="81"/>
    </row>
    <row r="6" spans="3:7" ht="40.5">
      <c r="C6" s="32" t="s">
        <v>160</v>
      </c>
      <c r="D6" s="136" t="s">
        <v>396</v>
      </c>
      <c r="E6" s="6" t="s">
        <v>798</v>
      </c>
      <c r="G6" s="81"/>
    </row>
    <row r="7" spans="3:7" ht="30">
      <c r="C7" s="32">
        <v>3</v>
      </c>
      <c r="D7" s="136" t="s">
        <v>397</v>
      </c>
      <c r="E7" s="6" t="s">
        <v>799</v>
      </c>
      <c r="G7" s="81"/>
    </row>
    <row r="8" spans="3:5" ht="30.75" thickBot="1">
      <c r="C8" s="32">
        <v>4</v>
      </c>
      <c r="D8" s="136" t="s">
        <v>398</v>
      </c>
      <c r="E8" s="6" t="s">
        <v>800</v>
      </c>
    </row>
    <row r="9" spans="3:5" ht="10.5" thickBot="1">
      <c r="C9" s="88"/>
      <c r="D9" s="137"/>
      <c r="E9" s="7" t="str">
        <f>+IF(F5="","",(IF(F5=0,"да","нет")))</f>
        <v>да</v>
      </c>
    </row>
    <row r="10" spans="3:5" ht="10.5" thickBot="1">
      <c r="C10" s="106" t="s">
        <v>90</v>
      </c>
      <c r="D10" s="106"/>
      <c r="E10" s="106"/>
    </row>
    <row r="12" spans="3:5" ht="9.75">
      <c r="C12" s="185"/>
      <c r="D12" s="185"/>
      <c r="E12" s="185"/>
    </row>
    <row r="14" spans="1:6" s="107" customFormat="1" ht="15" customHeight="1">
      <c r="A14" s="143"/>
      <c r="C14" s="107" t="s">
        <v>147</v>
      </c>
      <c r="D14" s="186" t="s">
        <v>163</v>
      </c>
      <c r="E14" s="186"/>
      <c r="F14" s="4"/>
    </row>
    <row r="15" spans="3:5" ht="54.75" customHeight="1">
      <c r="C15" s="107" t="s">
        <v>154</v>
      </c>
      <c r="D15" s="186" t="s">
        <v>167</v>
      </c>
      <c r="E15" s="186"/>
    </row>
    <row r="16" spans="3:5" ht="18" customHeight="1">
      <c r="C16" s="107" t="s">
        <v>155</v>
      </c>
      <c r="D16" s="186" t="s">
        <v>585</v>
      </c>
      <c r="E16" s="186"/>
    </row>
    <row r="17" ht="9.75">
      <c r="C17" s="107"/>
    </row>
  </sheetData>
  <sheetProtection password="CF7A" sheet="1" objects="1" scenarios="1"/>
  <mergeCells count="5">
    <mergeCell ref="D16:E16"/>
    <mergeCell ref="C2:E2"/>
    <mergeCell ref="C12:E12"/>
    <mergeCell ref="D14:E14"/>
    <mergeCell ref="D15:E1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87"/>
  <sheetViews>
    <sheetView view="pageBreakPreview" zoomScaleNormal="73" zoomScaleSheetLayoutView="100" zoomScalePageLayoutView="0" workbookViewId="0" topLeftCell="B1">
      <selection activeCell="E9" sqref="E9"/>
    </sheetView>
  </sheetViews>
  <sheetFormatPr defaultColWidth="9.28125" defaultRowHeight="15"/>
  <cols>
    <col min="1" max="1" width="4.421875" style="105" hidden="1" customWidth="1"/>
    <col min="2" max="2" width="1.421875" style="22" customWidth="1"/>
    <col min="3" max="3" width="6.421875" style="22" customWidth="1"/>
    <col min="4" max="4" width="49.28125" style="22" customWidth="1"/>
    <col min="5" max="5" width="40.28125" style="22" customWidth="1"/>
    <col min="6" max="7" width="27.57421875" style="22" customWidth="1"/>
    <col min="8" max="8" width="1.421875" style="17" customWidth="1"/>
    <col min="9" max="9" width="71.421875" style="22" customWidth="1"/>
    <col min="10" max="11" width="31.421875" style="22" customWidth="1"/>
    <col min="12" max="16384" width="9.28125" style="22" customWidth="1"/>
  </cols>
  <sheetData>
    <row r="1" spans="1:3" ht="9.75">
      <c r="A1" s="54" t="s">
        <v>89</v>
      </c>
      <c r="B1" s="80"/>
      <c r="C1" s="55"/>
    </row>
    <row r="2" spans="1:7" ht="26.25" customHeight="1" thickBot="1">
      <c r="A2" s="54" t="s">
        <v>89</v>
      </c>
      <c r="B2" s="80"/>
      <c r="C2" s="184" t="s">
        <v>236</v>
      </c>
      <c r="D2" s="184"/>
      <c r="E2" s="184"/>
      <c r="F2" s="184"/>
      <c r="G2" s="184"/>
    </row>
    <row r="3" spans="1:8" s="67" customFormat="1" ht="9.75">
      <c r="A3" s="62" t="s">
        <v>89</v>
      </c>
      <c r="B3" s="94"/>
      <c r="C3" s="95"/>
      <c r="D3" s="96" t="s">
        <v>250</v>
      </c>
      <c r="H3" s="63"/>
    </row>
    <row r="4" spans="1:7" ht="49.5" customHeight="1">
      <c r="A4" s="21" t="s">
        <v>89</v>
      </c>
      <c r="C4" s="99" t="s">
        <v>142</v>
      </c>
      <c r="D4" s="100" t="s">
        <v>143</v>
      </c>
      <c r="E4" s="101" t="s">
        <v>302</v>
      </c>
      <c r="F4" s="101" t="s">
        <v>341</v>
      </c>
      <c r="G4" s="101" t="s">
        <v>303</v>
      </c>
    </row>
    <row r="5" spans="1:7" ht="12" customHeight="1">
      <c r="A5" s="21"/>
      <c r="C5" s="112"/>
      <c r="D5" s="113">
        <v>1</v>
      </c>
      <c r="E5" s="114">
        <v>2</v>
      </c>
      <c r="F5" s="114">
        <v>3</v>
      </c>
      <c r="G5" s="114">
        <v>4</v>
      </c>
    </row>
    <row r="6" spans="1:8" s="72" customFormat="1" ht="24.75" customHeight="1">
      <c r="A6" s="21" t="s">
        <v>89</v>
      </c>
      <c r="B6" s="22"/>
      <c r="C6" s="32">
        <v>1</v>
      </c>
      <c r="D6" s="33" t="s">
        <v>340</v>
      </c>
      <c r="E6" s="33"/>
      <c r="F6" s="115">
        <f>+SUM(F7:F36)</f>
        <v>853788.2039999998</v>
      </c>
      <c r="G6" s="115">
        <f>+SUM(G7:G36)</f>
        <v>304787.02</v>
      </c>
      <c r="H6" s="17"/>
    </row>
    <row r="7" spans="1:8" s="72" customFormat="1" ht="18.75" customHeight="1">
      <c r="A7" s="21"/>
      <c r="B7" s="22"/>
      <c r="C7" s="16" t="s">
        <v>304</v>
      </c>
      <c r="D7" s="20" t="s">
        <v>637</v>
      </c>
      <c r="E7" s="8" t="s">
        <v>814</v>
      </c>
      <c r="F7" s="8">
        <v>153478.3</v>
      </c>
      <c r="G7" s="8">
        <v>148650.2</v>
      </c>
      <c r="H7" s="17"/>
    </row>
    <row r="8" spans="1:8" s="72" customFormat="1" ht="19.5" customHeight="1">
      <c r="A8" s="21"/>
      <c r="B8" s="22"/>
      <c r="C8" s="16" t="s">
        <v>305</v>
      </c>
      <c r="D8" s="20" t="s">
        <v>661</v>
      </c>
      <c r="E8" s="8" t="s">
        <v>804</v>
      </c>
      <c r="F8" s="8">
        <v>384.75</v>
      </c>
      <c r="G8" s="8"/>
      <c r="H8" s="17"/>
    </row>
    <row r="9" spans="1:8" s="72" customFormat="1" ht="18" customHeight="1">
      <c r="A9" s="21"/>
      <c r="B9" s="22"/>
      <c r="C9" s="16" t="s">
        <v>306</v>
      </c>
      <c r="D9" s="20" t="s">
        <v>644</v>
      </c>
      <c r="E9" s="8" t="s">
        <v>816</v>
      </c>
      <c r="F9" s="8">
        <v>45585.719</v>
      </c>
      <c r="G9" s="8"/>
      <c r="H9" s="17"/>
    </row>
    <row r="10" spans="1:8" s="72" customFormat="1" ht="19.5" customHeight="1">
      <c r="A10" s="21"/>
      <c r="B10" s="22"/>
      <c r="C10" s="16" t="s">
        <v>307</v>
      </c>
      <c r="D10" s="20" t="s">
        <v>662</v>
      </c>
      <c r="E10" s="8" t="s">
        <v>825</v>
      </c>
      <c r="F10" s="8">
        <v>585.43</v>
      </c>
      <c r="G10" s="8"/>
      <c r="H10" s="17"/>
    </row>
    <row r="11" spans="1:8" s="72" customFormat="1" ht="20.25" customHeight="1">
      <c r="A11" s="21"/>
      <c r="B11" s="22"/>
      <c r="C11" s="16" t="s">
        <v>308</v>
      </c>
      <c r="D11" s="20" t="s">
        <v>663</v>
      </c>
      <c r="E11" s="8" t="s">
        <v>826</v>
      </c>
      <c r="F11" s="8">
        <v>9407.584</v>
      </c>
      <c r="G11" s="8"/>
      <c r="H11" s="17"/>
    </row>
    <row r="12" spans="1:8" s="72" customFormat="1" ht="20.25" customHeight="1">
      <c r="A12" s="21"/>
      <c r="B12" s="22"/>
      <c r="C12" s="16" t="s">
        <v>320</v>
      </c>
      <c r="D12" s="20" t="s">
        <v>664</v>
      </c>
      <c r="E12" s="8" t="s">
        <v>809</v>
      </c>
      <c r="F12" s="8">
        <v>3604.5</v>
      </c>
      <c r="G12" s="8"/>
      <c r="H12" s="17"/>
    </row>
    <row r="13" spans="1:8" s="72" customFormat="1" ht="20.25" customHeight="1">
      <c r="A13" s="21"/>
      <c r="B13" s="22"/>
      <c r="C13" s="16" t="s">
        <v>321</v>
      </c>
      <c r="D13" s="20" t="s">
        <v>665</v>
      </c>
      <c r="E13" s="8" t="s">
        <v>813</v>
      </c>
      <c r="F13" s="8">
        <v>56.2</v>
      </c>
      <c r="G13" s="8"/>
      <c r="H13" s="17"/>
    </row>
    <row r="14" spans="1:8" s="72" customFormat="1" ht="20.25" customHeight="1">
      <c r="A14" s="21"/>
      <c r="B14" s="22"/>
      <c r="C14" s="16" t="s">
        <v>322</v>
      </c>
      <c r="D14" s="20" t="s">
        <v>797</v>
      </c>
      <c r="E14" s="8" t="s">
        <v>808</v>
      </c>
      <c r="F14" s="8">
        <v>2639</v>
      </c>
      <c r="G14" s="8"/>
      <c r="H14" s="17"/>
    </row>
    <row r="15" spans="1:8" s="72" customFormat="1" ht="20.25" customHeight="1">
      <c r="A15" s="21"/>
      <c r="B15" s="22"/>
      <c r="C15" s="16" t="s">
        <v>323</v>
      </c>
      <c r="D15" s="20" t="s">
        <v>647</v>
      </c>
      <c r="E15" s="8" t="s">
        <v>827</v>
      </c>
      <c r="F15" s="8">
        <v>9817.1</v>
      </c>
      <c r="G15" s="8"/>
      <c r="H15" s="17"/>
    </row>
    <row r="16" spans="1:8" s="72" customFormat="1" ht="20.25" customHeight="1">
      <c r="A16" s="21"/>
      <c r="B16" s="22"/>
      <c r="C16" s="16" t="s">
        <v>588</v>
      </c>
      <c r="D16" s="20" t="s">
        <v>666</v>
      </c>
      <c r="E16" s="8" t="s">
        <v>817</v>
      </c>
      <c r="F16" s="8">
        <v>440.834</v>
      </c>
      <c r="G16" s="8"/>
      <c r="H16" s="17"/>
    </row>
    <row r="17" spans="1:8" s="72" customFormat="1" ht="20.25" customHeight="1">
      <c r="A17" s="21"/>
      <c r="B17" s="22"/>
      <c r="C17" s="16" t="s">
        <v>589</v>
      </c>
      <c r="D17" s="20" t="s">
        <v>645</v>
      </c>
      <c r="E17" s="8" t="s">
        <v>828</v>
      </c>
      <c r="F17" s="8">
        <v>1220</v>
      </c>
      <c r="G17" s="8"/>
      <c r="H17" s="17"/>
    </row>
    <row r="18" spans="1:8" s="72" customFormat="1" ht="20.25" customHeight="1">
      <c r="A18" s="21"/>
      <c r="B18" s="22"/>
      <c r="C18" s="16" t="s">
        <v>590</v>
      </c>
      <c r="D18" s="20" t="s">
        <v>648</v>
      </c>
      <c r="E18" s="8" t="s">
        <v>829</v>
      </c>
      <c r="F18" s="8">
        <v>210.9</v>
      </c>
      <c r="G18" s="8"/>
      <c r="H18" s="17"/>
    </row>
    <row r="19" spans="1:8" s="72" customFormat="1" ht="20.25" customHeight="1">
      <c r="A19" s="21"/>
      <c r="B19" s="22"/>
      <c r="C19" s="16" t="s">
        <v>591</v>
      </c>
      <c r="D19" s="20" t="s">
        <v>657</v>
      </c>
      <c r="E19" s="8" t="s">
        <v>830</v>
      </c>
      <c r="F19" s="8">
        <v>393</v>
      </c>
      <c r="G19" s="8"/>
      <c r="H19" s="17"/>
    </row>
    <row r="20" spans="1:8" s="72" customFormat="1" ht="20.25" customHeight="1">
      <c r="A20" s="21"/>
      <c r="B20" s="22"/>
      <c r="C20" s="16" t="s">
        <v>592</v>
      </c>
      <c r="D20" s="20" t="s">
        <v>649</v>
      </c>
      <c r="E20" s="8" t="s">
        <v>831</v>
      </c>
      <c r="F20" s="8">
        <v>299.2</v>
      </c>
      <c r="G20" s="8"/>
      <c r="H20" s="17"/>
    </row>
    <row r="21" spans="1:8" s="72" customFormat="1" ht="20.25" customHeight="1">
      <c r="A21" s="21"/>
      <c r="B21" s="22"/>
      <c r="C21" s="16" t="s">
        <v>593</v>
      </c>
      <c r="D21" s="20" t="s">
        <v>667</v>
      </c>
      <c r="E21" s="8" t="s">
        <v>819</v>
      </c>
      <c r="F21" s="8">
        <v>63329.3</v>
      </c>
      <c r="G21" s="8"/>
      <c r="H21" s="17"/>
    </row>
    <row r="22" spans="1:8" s="72" customFormat="1" ht="20.25" customHeight="1">
      <c r="A22" s="21"/>
      <c r="B22" s="22"/>
      <c r="C22" s="16" t="s">
        <v>594</v>
      </c>
      <c r="D22" s="20" t="s">
        <v>646</v>
      </c>
      <c r="E22" s="8" t="s">
        <v>811</v>
      </c>
      <c r="F22" s="8">
        <v>5.1</v>
      </c>
      <c r="G22" s="8"/>
      <c r="H22" s="17"/>
    </row>
    <row r="23" spans="1:8" s="72" customFormat="1" ht="20.25" customHeight="1">
      <c r="A23" s="21"/>
      <c r="B23" s="22"/>
      <c r="C23" s="16" t="s">
        <v>595</v>
      </c>
      <c r="D23" s="20" t="s">
        <v>639</v>
      </c>
      <c r="E23" s="8" t="s">
        <v>832</v>
      </c>
      <c r="F23" s="8">
        <v>547.7</v>
      </c>
      <c r="G23" s="8"/>
      <c r="H23" s="17"/>
    </row>
    <row r="24" spans="1:8" s="72" customFormat="1" ht="20.25" customHeight="1">
      <c r="A24" s="21"/>
      <c r="B24" s="22"/>
      <c r="C24" s="16" t="s">
        <v>596</v>
      </c>
      <c r="D24" s="20" t="s">
        <v>638</v>
      </c>
      <c r="E24" s="8" t="s">
        <v>833</v>
      </c>
      <c r="F24" s="8">
        <v>1779.6</v>
      </c>
      <c r="G24" s="8"/>
      <c r="H24" s="17"/>
    </row>
    <row r="25" spans="1:8" s="72" customFormat="1" ht="20.25" customHeight="1">
      <c r="A25" s="21"/>
      <c r="B25" s="22"/>
      <c r="C25" s="16" t="s">
        <v>597</v>
      </c>
      <c r="D25" s="20" t="s">
        <v>651</v>
      </c>
      <c r="E25" s="8" t="s">
        <v>818</v>
      </c>
      <c r="F25" s="8">
        <v>2932</v>
      </c>
      <c r="G25" s="8"/>
      <c r="H25" s="17"/>
    </row>
    <row r="26" spans="1:8" s="72" customFormat="1" ht="20.25" customHeight="1">
      <c r="A26" s="21"/>
      <c r="B26" s="22"/>
      <c r="C26" s="16" t="s">
        <v>775</v>
      </c>
      <c r="D26" s="20" t="s">
        <v>668</v>
      </c>
      <c r="E26" s="8" t="s">
        <v>815</v>
      </c>
      <c r="F26" s="8">
        <v>7345.187</v>
      </c>
      <c r="G26" s="8">
        <v>2071.71</v>
      </c>
      <c r="H26" s="17"/>
    </row>
    <row r="27" spans="1:8" s="72" customFormat="1" ht="20.25" customHeight="1">
      <c r="A27" s="21"/>
      <c r="B27" s="22"/>
      <c r="C27" s="16" t="s">
        <v>599</v>
      </c>
      <c r="D27" s="20" t="s">
        <v>766</v>
      </c>
      <c r="E27" s="8" t="s">
        <v>834</v>
      </c>
      <c r="F27" s="8">
        <v>3801.1</v>
      </c>
      <c r="G27" s="8"/>
      <c r="H27" s="17"/>
    </row>
    <row r="28" spans="1:8" s="72" customFormat="1" ht="20.25" customHeight="1">
      <c r="A28" s="21"/>
      <c r="B28" s="22"/>
      <c r="C28" s="16" t="s">
        <v>600</v>
      </c>
      <c r="D28" s="20" t="s">
        <v>640</v>
      </c>
      <c r="E28" s="8" t="s">
        <v>805</v>
      </c>
      <c r="F28" s="8">
        <v>4768.8</v>
      </c>
      <c r="G28" s="8"/>
      <c r="H28" s="17"/>
    </row>
    <row r="29" spans="1:8" s="72" customFormat="1" ht="20.25" customHeight="1">
      <c r="A29" s="21"/>
      <c r="B29" s="22"/>
      <c r="C29" s="16" t="s">
        <v>601</v>
      </c>
      <c r="D29" s="20" t="s">
        <v>669</v>
      </c>
      <c r="E29" s="8" t="s">
        <v>810</v>
      </c>
      <c r="F29" s="8">
        <v>1211.9</v>
      </c>
      <c r="G29" s="8"/>
      <c r="H29" s="17"/>
    </row>
    <row r="30" spans="1:8" s="72" customFormat="1" ht="20.25" customHeight="1">
      <c r="A30" s="21"/>
      <c r="B30" s="22"/>
      <c r="C30" s="16" t="s">
        <v>602</v>
      </c>
      <c r="D30" s="20" t="s">
        <v>643</v>
      </c>
      <c r="E30" s="8" t="s">
        <v>807</v>
      </c>
      <c r="F30" s="8">
        <v>4242.1</v>
      </c>
      <c r="G30" s="8"/>
      <c r="H30" s="17"/>
    </row>
    <row r="31" spans="1:8" s="72" customFormat="1" ht="20.25" customHeight="1">
      <c r="A31" s="21"/>
      <c r="B31" s="22"/>
      <c r="C31" s="16" t="s">
        <v>603</v>
      </c>
      <c r="D31" s="20" t="s">
        <v>671</v>
      </c>
      <c r="E31" s="8" t="s">
        <v>835</v>
      </c>
      <c r="F31" s="8">
        <v>32304.2</v>
      </c>
      <c r="G31" s="8"/>
      <c r="H31" s="17"/>
    </row>
    <row r="32" spans="1:8" s="72" customFormat="1" ht="20.25" customHeight="1">
      <c r="A32" s="21"/>
      <c r="B32" s="22"/>
      <c r="C32" s="16" t="s">
        <v>604</v>
      </c>
      <c r="D32" s="20" t="s">
        <v>672</v>
      </c>
      <c r="E32" s="8" t="s">
        <v>806</v>
      </c>
      <c r="F32" s="8">
        <v>17309.3</v>
      </c>
      <c r="G32" s="8"/>
      <c r="H32" s="17"/>
    </row>
    <row r="33" spans="1:8" s="72" customFormat="1" ht="20.25" customHeight="1">
      <c r="A33" s="21"/>
      <c r="B33" s="22"/>
      <c r="C33" s="16" t="s">
        <v>605</v>
      </c>
      <c r="D33" s="20" t="s">
        <v>670</v>
      </c>
      <c r="E33" s="8" t="s">
        <v>836</v>
      </c>
      <c r="F33" s="8">
        <v>466995.6</v>
      </c>
      <c r="G33" s="8">
        <v>154065.11</v>
      </c>
      <c r="H33" s="17"/>
    </row>
    <row r="34" spans="1:8" s="72" customFormat="1" ht="20.25" customHeight="1">
      <c r="A34" s="21"/>
      <c r="B34" s="22"/>
      <c r="C34" s="16" t="s">
        <v>606</v>
      </c>
      <c r="D34" s="20" t="s">
        <v>767</v>
      </c>
      <c r="E34" s="8" t="s">
        <v>837</v>
      </c>
      <c r="F34" s="8">
        <v>41.4</v>
      </c>
      <c r="G34" s="8"/>
      <c r="H34" s="17"/>
    </row>
    <row r="35" spans="1:8" s="72" customFormat="1" ht="20.25" customHeight="1">
      <c r="A35" s="21"/>
      <c r="B35" s="22"/>
      <c r="C35" s="16" t="s">
        <v>607</v>
      </c>
      <c r="D35" s="20" t="s">
        <v>673</v>
      </c>
      <c r="E35" s="8" t="s">
        <v>812</v>
      </c>
      <c r="F35" s="8">
        <v>5715.7</v>
      </c>
      <c r="G35" s="8"/>
      <c r="H35" s="17"/>
    </row>
    <row r="36" spans="1:9" s="72" customFormat="1" ht="25.5" customHeight="1">
      <c r="A36" s="21"/>
      <c r="B36" s="22"/>
      <c r="C36" s="16" t="s">
        <v>608</v>
      </c>
      <c r="D36" s="20" t="s">
        <v>796</v>
      </c>
      <c r="E36" s="8" t="s">
        <v>809</v>
      </c>
      <c r="F36" s="8">
        <v>13336.7</v>
      </c>
      <c r="G36" s="8"/>
      <c r="H36" s="17"/>
      <c r="I36" s="18" t="s">
        <v>286</v>
      </c>
    </row>
    <row r="37" spans="1:7" ht="33.75" customHeight="1">
      <c r="A37" s="21" t="s">
        <v>89</v>
      </c>
      <c r="C37" s="32">
        <v>2</v>
      </c>
      <c r="D37" s="33" t="s">
        <v>351</v>
      </c>
      <c r="E37" s="187">
        <v>309365.6</v>
      </c>
      <c r="F37" s="188"/>
      <c r="G37" s="189"/>
    </row>
    <row r="38" spans="1:7" ht="17.25" customHeight="1" thickBot="1">
      <c r="A38" s="21" t="s">
        <v>89</v>
      </c>
      <c r="C38" s="32">
        <v>3</v>
      </c>
      <c r="D38" s="33" t="s">
        <v>352</v>
      </c>
      <c r="E38" s="190">
        <v>1102035.2</v>
      </c>
      <c r="F38" s="191"/>
      <c r="G38" s="192"/>
    </row>
    <row r="39" spans="1:7" ht="21" thickBot="1">
      <c r="A39" s="21" t="s">
        <v>89</v>
      </c>
      <c r="C39" s="83">
        <v>4</v>
      </c>
      <c r="D39" s="84" t="s">
        <v>360</v>
      </c>
      <c r="E39" s="85"/>
      <c r="F39" s="85"/>
      <c r="G39" s="7">
        <f>IF(AND((E38-E37)&lt;&gt;0),(F6-G6)/(E38-E37),"")</f>
        <v>0.6925977532126876</v>
      </c>
    </row>
    <row r="41" spans="3:7" ht="10.5" thickBot="1">
      <c r="C41" s="106" t="s">
        <v>90</v>
      </c>
      <c r="D41" s="106"/>
      <c r="E41" s="106"/>
      <c r="F41" s="106"/>
      <c r="G41" s="106"/>
    </row>
    <row r="43" spans="3:7" ht="9.75">
      <c r="C43" s="185">
        <f>IF(G39="","Индикатор не может быть посчитан: деление на ноль либо отсутствуют данные для его расчета","")</f>
      </c>
      <c r="D43" s="185"/>
      <c r="E43" s="185"/>
      <c r="F43" s="185"/>
      <c r="G43" s="185"/>
    </row>
    <row r="45" spans="3:8" ht="13.5" customHeight="1">
      <c r="C45" s="111" t="s">
        <v>147</v>
      </c>
      <c r="D45" s="186" t="s">
        <v>309</v>
      </c>
      <c r="E45" s="186"/>
      <c r="F45" s="186"/>
      <c r="G45" s="186"/>
      <c r="H45" s="186"/>
    </row>
    <row r="46" spans="3:8" ht="15" customHeight="1">
      <c r="C46" s="111" t="s">
        <v>154</v>
      </c>
      <c r="D46" s="186" t="s">
        <v>310</v>
      </c>
      <c r="E46" s="186"/>
      <c r="F46" s="186"/>
      <c r="G46" s="186"/>
      <c r="H46" s="186"/>
    </row>
    <row r="47" spans="3:8" ht="25.5" customHeight="1">
      <c r="C47" s="111" t="s">
        <v>155</v>
      </c>
      <c r="D47" s="186" t="s">
        <v>311</v>
      </c>
      <c r="E47" s="186"/>
      <c r="F47" s="186"/>
      <c r="G47" s="186"/>
      <c r="H47" s="186"/>
    </row>
    <row r="48" spans="3:8" ht="9.75">
      <c r="C48" s="111"/>
      <c r="D48" s="186"/>
      <c r="E48" s="186"/>
      <c r="F48" s="186"/>
      <c r="G48" s="186"/>
      <c r="H48" s="186"/>
    </row>
    <row r="49" spans="3:8" ht="9.75">
      <c r="C49" s="111"/>
      <c r="D49" s="186"/>
      <c r="E49" s="186"/>
      <c r="F49" s="186"/>
      <c r="G49" s="186"/>
      <c r="H49" s="186"/>
    </row>
    <row r="87" ht="9.75">
      <c r="E87" s="20"/>
    </row>
  </sheetData>
  <sheetProtection password="CF7A" sheet="1" objects="1" scenarios="1" insertRows="0"/>
  <mergeCells count="9">
    <mergeCell ref="C2:G2"/>
    <mergeCell ref="E37:G37"/>
    <mergeCell ref="E38:G38"/>
    <mergeCell ref="D49:H49"/>
    <mergeCell ref="C43:G43"/>
    <mergeCell ref="D45:H45"/>
    <mergeCell ref="D46:H46"/>
    <mergeCell ref="D47:H47"/>
    <mergeCell ref="D48:H48"/>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K76"/>
  <sheetViews>
    <sheetView view="pageBreakPreview" zoomScale="85" zoomScaleNormal="88" zoomScaleSheetLayoutView="85" zoomScalePageLayoutView="0" workbookViewId="0" topLeftCell="C1">
      <selection activeCell="F11" sqref="F11"/>
    </sheetView>
  </sheetViews>
  <sheetFormatPr defaultColWidth="9.28125" defaultRowHeight="15"/>
  <cols>
    <col min="1" max="1" width="4.421875" style="105" hidden="1" customWidth="1"/>
    <col min="2" max="2" width="1.421875" style="22" customWidth="1"/>
    <col min="3" max="3" width="6.421875" style="22" customWidth="1"/>
    <col min="4" max="4" width="42.7109375" style="22" customWidth="1"/>
    <col min="5" max="8" width="20.00390625" style="22" customWidth="1"/>
    <col min="9" max="9" width="17.28125" style="22" customWidth="1"/>
    <col min="10" max="10" width="1.421875" style="17" customWidth="1"/>
    <col min="11" max="11" width="76.57421875" style="22" bestFit="1" customWidth="1"/>
    <col min="12" max="16384" width="9.28125" style="22" customWidth="1"/>
  </cols>
  <sheetData>
    <row r="1" spans="1:3" ht="9.75">
      <c r="A1" s="54" t="s">
        <v>89</v>
      </c>
      <c r="B1" s="80"/>
      <c r="C1" s="55"/>
    </row>
    <row r="2" spans="1:9" ht="25.5" customHeight="1" thickBot="1">
      <c r="A2" s="54" t="s">
        <v>89</v>
      </c>
      <c r="B2" s="80"/>
      <c r="C2" s="184" t="s">
        <v>236</v>
      </c>
      <c r="D2" s="184"/>
      <c r="E2" s="184"/>
      <c r="F2" s="184"/>
      <c r="G2" s="184"/>
      <c r="H2" s="184"/>
      <c r="I2" s="184"/>
    </row>
    <row r="3" spans="1:10" s="67" customFormat="1" ht="9.75">
      <c r="A3" s="62" t="s">
        <v>89</v>
      </c>
      <c r="B3" s="94"/>
      <c r="C3" s="95"/>
      <c r="D3" s="96" t="s">
        <v>256</v>
      </c>
      <c r="J3" s="63"/>
    </row>
    <row r="4" spans="1:9" ht="20.25">
      <c r="A4" s="21" t="s">
        <v>89</v>
      </c>
      <c r="C4" s="68" t="s">
        <v>142</v>
      </c>
      <c r="D4" s="69" t="s">
        <v>314</v>
      </c>
      <c r="E4" s="70" t="s">
        <v>315</v>
      </c>
      <c r="F4" s="116"/>
      <c r="G4" s="70" t="s">
        <v>316</v>
      </c>
      <c r="H4" s="116"/>
      <c r="I4" s="117" t="s">
        <v>317</v>
      </c>
    </row>
    <row r="5" spans="1:9" ht="30">
      <c r="A5" s="21" t="s">
        <v>89</v>
      </c>
      <c r="C5" s="73"/>
      <c r="D5" s="74"/>
      <c r="E5" s="75" t="s">
        <v>318</v>
      </c>
      <c r="F5" s="118" t="s">
        <v>342</v>
      </c>
      <c r="G5" s="75" t="s">
        <v>318</v>
      </c>
      <c r="H5" s="118" t="s">
        <v>342</v>
      </c>
      <c r="I5" s="119" t="s">
        <v>319</v>
      </c>
    </row>
    <row r="6" spans="1:9" s="17" customFormat="1" ht="9.75">
      <c r="A6" s="21" t="s">
        <v>89</v>
      </c>
      <c r="C6" s="112"/>
      <c r="D6" s="113">
        <v>1</v>
      </c>
      <c r="E6" s="114">
        <v>2</v>
      </c>
      <c r="F6" s="114">
        <v>3</v>
      </c>
      <c r="G6" s="114">
        <v>4</v>
      </c>
      <c r="H6" s="114">
        <v>5</v>
      </c>
      <c r="I6" s="114">
        <v>6</v>
      </c>
    </row>
    <row r="7" spans="1:9" ht="20.25">
      <c r="A7" s="21" t="s">
        <v>89</v>
      </c>
      <c r="C7" s="16" t="s">
        <v>304</v>
      </c>
      <c r="D7" s="20" t="s">
        <v>637</v>
      </c>
      <c r="E7" s="8">
        <v>127838.14</v>
      </c>
      <c r="F7" s="8">
        <v>5502.4</v>
      </c>
      <c r="G7" s="8">
        <v>156918.3</v>
      </c>
      <c r="H7" s="8">
        <v>7046.5</v>
      </c>
      <c r="I7" s="10">
        <f aca="true" t="shared" si="0" ref="I7:I64">IF(OR(F7=0,F7=""),"",ABS(H7/F7-1))</f>
        <v>0.2806230008723467</v>
      </c>
    </row>
    <row r="8" spans="1:9" ht="20.25">
      <c r="A8" s="21" t="s">
        <v>89</v>
      </c>
      <c r="C8" s="16" t="s">
        <v>305</v>
      </c>
      <c r="D8" s="20" t="s">
        <v>680</v>
      </c>
      <c r="E8" s="8">
        <v>8005.8</v>
      </c>
      <c r="F8" s="8">
        <v>1065</v>
      </c>
      <c r="G8" s="8">
        <v>7435.8</v>
      </c>
      <c r="H8" s="8">
        <v>1085</v>
      </c>
      <c r="I8" s="10">
        <f t="shared" si="0"/>
        <v>0.018779342723004744</v>
      </c>
    </row>
    <row r="9" spans="1:9" ht="9.75">
      <c r="A9" s="21" t="s">
        <v>89</v>
      </c>
      <c r="C9" s="16" t="s">
        <v>306</v>
      </c>
      <c r="D9" s="20" t="s">
        <v>638</v>
      </c>
      <c r="E9" s="8">
        <v>1838</v>
      </c>
      <c r="F9" s="8">
        <v>1838</v>
      </c>
      <c r="G9" s="8">
        <v>2348</v>
      </c>
      <c r="H9" s="8">
        <v>1898</v>
      </c>
      <c r="I9" s="10">
        <f t="shared" si="0"/>
        <v>0.03264417845484213</v>
      </c>
    </row>
    <row r="10" spans="1:9" ht="20.25">
      <c r="A10" s="21" t="s">
        <v>89</v>
      </c>
      <c r="C10" s="16" t="s">
        <v>307</v>
      </c>
      <c r="D10" s="20" t="s">
        <v>777</v>
      </c>
      <c r="E10" s="8">
        <v>563.7</v>
      </c>
      <c r="F10" s="8">
        <v>563.7</v>
      </c>
      <c r="G10" s="8">
        <v>586.9</v>
      </c>
      <c r="H10" s="8">
        <v>586.9</v>
      </c>
      <c r="I10" s="10">
        <f t="shared" si="0"/>
        <v>0.04115664360475413</v>
      </c>
    </row>
    <row r="11" spans="1:9" ht="20.25">
      <c r="A11" s="21" t="s">
        <v>89</v>
      </c>
      <c r="C11" s="16" t="s">
        <v>308</v>
      </c>
      <c r="D11" s="20" t="s">
        <v>640</v>
      </c>
      <c r="E11" s="8">
        <v>2013.6</v>
      </c>
      <c r="F11" s="8">
        <v>2013.6</v>
      </c>
      <c r="G11" s="8">
        <v>5065.6</v>
      </c>
      <c r="H11" s="8">
        <v>4941.6</v>
      </c>
      <c r="I11" s="10">
        <f t="shared" si="0"/>
        <v>1.4541120381406438</v>
      </c>
    </row>
    <row r="12" spans="1:9" ht="20.25">
      <c r="A12" s="21" t="s">
        <v>89</v>
      </c>
      <c r="C12" s="16" t="s">
        <v>320</v>
      </c>
      <c r="D12" s="20" t="s">
        <v>658</v>
      </c>
      <c r="E12" s="8">
        <v>57823.9</v>
      </c>
      <c r="F12" s="8">
        <v>7506.9</v>
      </c>
      <c r="G12" s="8">
        <v>63610.4</v>
      </c>
      <c r="H12" s="8">
        <v>10677.4</v>
      </c>
      <c r="I12" s="10">
        <f t="shared" si="0"/>
        <v>0.4223447761392851</v>
      </c>
    </row>
    <row r="13" spans="1:9" ht="20.25">
      <c r="A13" s="21" t="s">
        <v>89</v>
      </c>
      <c r="C13" s="16" t="s">
        <v>321</v>
      </c>
      <c r="D13" s="20" t="s">
        <v>653</v>
      </c>
      <c r="E13" s="8">
        <v>452.54</v>
      </c>
      <c r="F13" s="8">
        <v>200</v>
      </c>
      <c r="G13" s="8">
        <v>452.5</v>
      </c>
      <c r="H13" s="8">
        <v>200</v>
      </c>
      <c r="I13" s="10">
        <f t="shared" si="0"/>
        <v>0</v>
      </c>
    </row>
    <row r="14" spans="1:9" ht="9.75">
      <c r="A14" s="21" t="s">
        <v>89</v>
      </c>
      <c r="C14" s="16" t="s">
        <v>322</v>
      </c>
      <c r="D14" s="20" t="s">
        <v>651</v>
      </c>
      <c r="E14" s="8">
        <v>2750</v>
      </c>
      <c r="F14" s="8">
        <v>2750</v>
      </c>
      <c r="G14" s="8">
        <v>2932</v>
      </c>
      <c r="H14" s="8">
        <v>2932</v>
      </c>
      <c r="I14" s="10">
        <f t="shared" si="0"/>
        <v>0.06618181818181812</v>
      </c>
    </row>
    <row r="15" spans="1:9" ht="20.25">
      <c r="A15" s="21" t="s">
        <v>89</v>
      </c>
      <c r="C15" s="16" t="s">
        <v>323</v>
      </c>
      <c r="D15" s="20" t="s">
        <v>643</v>
      </c>
      <c r="E15" s="8">
        <v>4532.5</v>
      </c>
      <c r="F15" s="8">
        <v>3670</v>
      </c>
      <c r="G15" s="8">
        <v>4242.1</v>
      </c>
      <c r="H15" s="8">
        <v>3379.6</v>
      </c>
      <c r="I15" s="10">
        <f t="shared" si="0"/>
        <v>0.07912806539509543</v>
      </c>
    </row>
    <row r="16" spans="1:9" ht="20.25">
      <c r="A16" s="21" t="s">
        <v>89</v>
      </c>
      <c r="C16" s="16" t="s">
        <v>588</v>
      </c>
      <c r="D16" s="20" t="s">
        <v>671</v>
      </c>
      <c r="E16" s="8">
        <v>32304.2</v>
      </c>
      <c r="F16" s="8">
        <v>6536.5</v>
      </c>
      <c r="G16" s="8">
        <v>32304.2</v>
      </c>
      <c r="H16" s="8">
        <v>6536.5</v>
      </c>
      <c r="I16" s="10">
        <f t="shared" si="0"/>
        <v>0</v>
      </c>
    </row>
    <row r="17" spans="1:9" ht="20.25">
      <c r="A17" s="21"/>
      <c r="C17" s="16" t="s">
        <v>589</v>
      </c>
      <c r="D17" s="20" t="s">
        <v>644</v>
      </c>
      <c r="E17" s="8">
        <v>40072.2</v>
      </c>
      <c r="F17" s="8">
        <v>4800</v>
      </c>
      <c r="G17" s="8">
        <v>47411.6</v>
      </c>
      <c r="H17" s="8">
        <v>5100</v>
      </c>
      <c r="I17" s="10">
        <f t="shared" si="0"/>
        <v>0.0625</v>
      </c>
    </row>
    <row r="18" spans="1:9" ht="30">
      <c r="A18" s="21"/>
      <c r="C18" s="16" t="s">
        <v>590</v>
      </c>
      <c r="D18" s="20" t="s">
        <v>645</v>
      </c>
      <c r="E18" s="8">
        <v>1220</v>
      </c>
      <c r="F18" s="8">
        <v>200</v>
      </c>
      <c r="G18" s="8">
        <v>1220</v>
      </c>
      <c r="H18" s="8">
        <v>200</v>
      </c>
      <c r="I18" s="10">
        <f t="shared" si="0"/>
        <v>0</v>
      </c>
    </row>
    <row r="19" spans="1:9" ht="20.25">
      <c r="A19" s="21" t="s">
        <v>89</v>
      </c>
      <c r="C19" s="16" t="s">
        <v>591</v>
      </c>
      <c r="D19" s="20" t="s">
        <v>681</v>
      </c>
      <c r="E19" s="8">
        <v>593.7</v>
      </c>
      <c r="F19" s="8">
        <v>593.7</v>
      </c>
      <c r="G19" s="8">
        <v>590.7</v>
      </c>
      <c r="H19" s="8">
        <v>590.7</v>
      </c>
      <c r="I19" s="10">
        <f t="shared" si="0"/>
        <v>0.005053057099545177</v>
      </c>
    </row>
    <row r="20" spans="1:9" ht="20.25">
      <c r="A20" s="21"/>
      <c r="C20" s="16" t="s">
        <v>592</v>
      </c>
      <c r="D20" s="20" t="s">
        <v>646</v>
      </c>
      <c r="E20" s="8">
        <v>275.1</v>
      </c>
      <c r="F20" s="8">
        <v>275.1</v>
      </c>
      <c r="G20" s="8">
        <v>5.1</v>
      </c>
      <c r="H20" s="8">
        <v>5.1</v>
      </c>
      <c r="I20" s="10">
        <f t="shared" si="0"/>
        <v>0.9814612868047983</v>
      </c>
    </row>
    <row r="21" spans="1:9" ht="20.25">
      <c r="A21" s="21"/>
      <c r="C21" s="16" t="s">
        <v>593</v>
      </c>
      <c r="D21" s="20" t="s">
        <v>647</v>
      </c>
      <c r="E21" s="8">
        <v>9970</v>
      </c>
      <c r="F21" s="8">
        <v>2150.1</v>
      </c>
      <c r="G21" s="8">
        <v>9978</v>
      </c>
      <c r="H21" s="8">
        <v>2150.1</v>
      </c>
      <c r="I21" s="10">
        <f t="shared" si="0"/>
        <v>0</v>
      </c>
    </row>
    <row r="22" spans="1:9" ht="20.25">
      <c r="A22" s="21" t="s">
        <v>89</v>
      </c>
      <c r="C22" s="16" t="s">
        <v>594</v>
      </c>
      <c r="D22" s="20" t="s">
        <v>648</v>
      </c>
      <c r="E22" s="8">
        <v>210.9</v>
      </c>
      <c r="F22" s="8">
        <v>40.9</v>
      </c>
      <c r="G22" s="8">
        <v>210.9</v>
      </c>
      <c r="H22" s="8">
        <v>40.9</v>
      </c>
      <c r="I22" s="10">
        <f t="shared" si="0"/>
        <v>0</v>
      </c>
    </row>
    <row r="23" spans="1:9" ht="20.25">
      <c r="A23" s="21" t="s">
        <v>89</v>
      </c>
      <c r="C23" s="16" t="s">
        <v>595</v>
      </c>
      <c r="D23" s="20" t="s">
        <v>649</v>
      </c>
      <c r="E23" s="8">
        <v>310</v>
      </c>
      <c r="F23" s="8">
        <v>310</v>
      </c>
      <c r="G23" s="8">
        <v>299.1</v>
      </c>
      <c r="H23" s="8">
        <v>299.1</v>
      </c>
      <c r="I23" s="10">
        <f t="shared" si="0"/>
        <v>0.03516129032258053</v>
      </c>
    </row>
    <row r="24" spans="1:9" ht="51">
      <c r="A24" s="21"/>
      <c r="C24" s="16" t="s">
        <v>596</v>
      </c>
      <c r="D24" s="20" t="s">
        <v>650</v>
      </c>
      <c r="E24" s="8">
        <v>3804.2</v>
      </c>
      <c r="F24" s="8">
        <v>1180</v>
      </c>
      <c r="G24" s="8">
        <v>3804.2</v>
      </c>
      <c r="H24" s="8">
        <v>1180</v>
      </c>
      <c r="I24" s="10">
        <f t="shared" si="0"/>
        <v>0</v>
      </c>
    </row>
    <row r="25" spans="1:9" ht="30">
      <c r="A25" s="21"/>
      <c r="C25" s="16" t="s">
        <v>597</v>
      </c>
      <c r="D25" s="20" t="s">
        <v>654</v>
      </c>
      <c r="E25" s="8">
        <v>10705</v>
      </c>
      <c r="F25" s="8">
        <v>3705</v>
      </c>
      <c r="G25" s="8">
        <v>9535.4</v>
      </c>
      <c r="H25" s="8">
        <v>3074.3</v>
      </c>
      <c r="I25" s="10">
        <f t="shared" si="0"/>
        <v>0.1702294197031039</v>
      </c>
    </row>
    <row r="26" spans="1:9" ht="30">
      <c r="A26" s="21" t="s">
        <v>89</v>
      </c>
      <c r="C26" s="16" t="s">
        <v>598</v>
      </c>
      <c r="D26" s="20" t="s">
        <v>664</v>
      </c>
      <c r="E26" s="8">
        <v>3774.6</v>
      </c>
      <c r="F26" s="8">
        <v>1412.9</v>
      </c>
      <c r="G26" s="8">
        <v>3604.5</v>
      </c>
      <c r="H26" s="8">
        <v>1412.9</v>
      </c>
      <c r="I26" s="10">
        <f t="shared" si="0"/>
        <v>0</v>
      </c>
    </row>
    <row r="27" spans="1:9" ht="30">
      <c r="A27" s="21"/>
      <c r="C27" s="16" t="s">
        <v>599</v>
      </c>
      <c r="D27" s="20" t="s">
        <v>655</v>
      </c>
      <c r="E27" s="8">
        <v>65.4</v>
      </c>
      <c r="F27" s="8">
        <v>65.4</v>
      </c>
      <c r="G27" s="8">
        <v>58.4</v>
      </c>
      <c r="H27" s="8">
        <v>58.4</v>
      </c>
      <c r="I27" s="10">
        <f t="shared" si="0"/>
        <v>0.10703363914373099</v>
      </c>
    </row>
    <row r="28" spans="1:9" ht="20.25">
      <c r="A28" s="21"/>
      <c r="C28" s="16" t="s">
        <v>600</v>
      </c>
      <c r="D28" s="20" t="s">
        <v>656</v>
      </c>
      <c r="E28" s="8">
        <v>448.6</v>
      </c>
      <c r="F28" s="8">
        <v>398.6</v>
      </c>
      <c r="G28" s="8">
        <v>483.6</v>
      </c>
      <c r="H28" s="8">
        <v>433.6</v>
      </c>
      <c r="I28" s="10">
        <f t="shared" si="0"/>
        <v>0.08780732563973914</v>
      </c>
    </row>
    <row r="29" spans="1:9" ht="20.25">
      <c r="A29" s="21" t="s">
        <v>89</v>
      </c>
      <c r="C29" s="16" t="s">
        <v>601</v>
      </c>
      <c r="D29" s="20" t="s">
        <v>657</v>
      </c>
      <c r="E29" s="8">
        <v>393.7</v>
      </c>
      <c r="F29" s="8">
        <v>393.7</v>
      </c>
      <c r="G29" s="8">
        <v>393.7</v>
      </c>
      <c r="H29" s="8">
        <v>393.7</v>
      </c>
      <c r="I29" s="10">
        <f t="shared" si="0"/>
        <v>0</v>
      </c>
    </row>
    <row r="30" spans="1:9" ht="20.25">
      <c r="A30" s="21" t="s">
        <v>89</v>
      </c>
      <c r="C30" s="16" t="s">
        <v>602</v>
      </c>
      <c r="D30" s="20" t="s">
        <v>682</v>
      </c>
      <c r="E30" s="8">
        <v>2755.7</v>
      </c>
      <c r="F30" s="8">
        <v>88.3</v>
      </c>
      <c r="G30" s="8">
        <v>1211.892</v>
      </c>
      <c r="H30" s="8">
        <v>121.2</v>
      </c>
      <c r="I30" s="10">
        <f t="shared" si="0"/>
        <v>0.3725934314835788</v>
      </c>
    </row>
    <row r="31" spans="1:9" ht="20.25">
      <c r="A31" s="21"/>
      <c r="C31" s="16" t="s">
        <v>603</v>
      </c>
      <c r="D31" s="20" t="s">
        <v>776</v>
      </c>
      <c r="E31" s="8">
        <v>18626.5</v>
      </c>
      <c r="F31" s="8">
        <v>7300</v>
      </c>
      <c r="G31" s="8">
        <v>17751.8</v>
      </c>
      <c r="H31" s="8">
        <v>6963.5</v>
      </c>
      <c r="I31" s="10">
        <f t="shared" si="0"/>
        <v>0.04609589041095885</v>
      </c>
    </row>
    <row r="32" spans="1:9" ht="30">
      <c r="A32" s="21"/>
      <c r="C32" s="16" t="s">
        <v>604</v>
      </c>
      <c r="D32" s="20" t="s">
        <v>670</v>
      </c>
      <c r="E32" s="8">
        <v>450757.2</v>
      </c>
      <c r="F32" s="8">
        <v>252621.2</v>
      </c>
      <c r="G32" s="8">
        <v>470820.4</v>
      </c>
      <c r="H32" s="8">
        <v>252621.2</v>
      </c>
      <c r="I32" s="10">
        <f t="shared" si="0"/>
        <v>0</v>
      </c>
    </row>
    <row r="33" spans="1:9" ht="30">
      <c r="A33" s="21" t="s">
        <v>89</v>
      </c>
      <c r="C33" s="16" t="s">
        <v>605</v>
      </c>
      <c r="D33" s="20" t="s">
        <v>673</v>
      </c>
      <c r="E33" s="8">
        <v>6013</v>
      </c>
      <c r="F33" s="8">
        <v>2830</v>
      </c>
      <c r="G33" s="8">
        <v>6013</v>
      </c>
      <c r="H33" s="8">
        <v>2830</v>
      </c>
      <c r="I33" s="10">
        <f t="shared" si="0"/>
        <v>0</v>
      </c>
    </row>
    <row r="34" spans="1:9" ht="9.75">
      <c r="A34" s="21"/>
      <c r="C34" s="16" t="s">
        <v>606</v>
      </c>
      <c r="D34" s="20" t="s">
        <v>767</v>
      </c>
      <c r="E34" s="8">
        <v>75</v>
      </c>
      <c r="F34" s="8">
        <v>75</v>
      </c>
      <c r="G34" s="8">
        <v>75</v>
      </c>
      <c r="H34" s="8">
        <v>75</v>
      </c>
      <c r="I34" s="10">
        <f t="shared" si="0"/>
        <v>0</v>
      </c>
    </row>
    <row r="35" spans="1:9" ht="40.5">
      <c r="A35" s="21"/>
      <c r="C35" s="16" t="s">
        <v>607</v>
      </c>
      <c r="D35" s="20" t="s">
        <v>795</v>
      </c>
      <c r="E35" s="8">
        <v>3213.78</v>
      </c>
      <c r="F35" s="8">
        <v>1319.5</v>
      </c>
      <c r="G35" s="8">
        <v>3213.8</v>
      </c>
      <c r="H35" s="8">
        <v>1319.5</v>
      </c>
      <c r="I35" s="10">
        <f t="shared" si="0"/>
        <v>0</v>
      </c>
    </row>
    <row r="36" spans="1:9" ht="40.5">
      <c r="A36" s="21" t="s">
        <v>89</v>
      </c>
      <c r="C36" s="16" t="s">
        <v>608</v>
      </c>
      <c r="D36" s="20" t="s">
        <v>796</v>
      </c>
      <c r="E36" s="8">
        <v>25145.5</v>
      </c>
      <c r="F36" s="8">
        <v>11000</v>
      </c>
      <c r="G36" s="8">
        <v>25145.5</v>
      </c>
      <c r="H36" s="8">
        <v>11000</v>
      </c>
      <c r="I36" s="10">
        <f t="shared" si="0"/>
        <v>0</v>
      </c>
    </row>
    <row r="37" spans="1:9" ht="9.75">
      <c r="A37" s="21" t="s">
        <v>89</v>
      </c>
      <c r="C37" s="16" t="s">
        <v>609</v>
      </c>
      <c r="D37" s="20"/>
      <c r="E37" s="8"/>
      <c r="F37" s="8"/>
      <c r="G37" s="8"/>
      <c r="H37" s="8"/>
      <c r="I37" s="10">
        <f t="shared" si="0"/>
      </c>
    </row>
    <row r="38" spans="1:9" ht="9.75">
      <c r="A38" s="21"/>
      <c r="C38" s="16" t="s">
        <v>610</v>
      </c>
      <c r="D38" s="20"/>
      <c r="E38" s="8"/>
      <c r="F38" s="8"/>
      <c r="G38" s="8"/>
      <c r="H38" s="8"/>
      <c r="I38" s="10">
        <f t="shared" si="0"/>
      </c>
    </row>
    <row r="39" spans="1:9" ht="9.75">
      <c r="A39" s="21"/>
      <c r="C39" s="16" t="s">
        <v>611</v>
      </c>
      <c r="D39" s="20"/>
      <c r="E39" s="8"/>
      <c r="F39" s="8"/>
      <c r="G39" s="8"/>
      <c r="H39" s="8"/>
      <c r="I39" s="10">
        <f t="shared" si="0"/>
      </c>
    </row>
    <row r="40" spans="1:9" ht="9.75">
      <c r="A40" s="21" t="s">
        <v>89</v>
      </c>
      <c r="C40" s="16" t="s">
        <v>612</v>
      </c>
      <c r="D40" s="20"/>
      <c r="E40" s="8"/>
      <c r="F40" s="8"/>
      <c r="G40" s="8"/>
      <c r="H40" s="8"/>
      <c r="I40" s="10">
        <f t="shared" si="0"/>
      </c>
    </row>
    <row r="41" spans="1:9" ht="9.75">
      <c r="A41" s="21"/>
      <c r="C41" s="16" t="s">
        <v>613</v>
      </c>
      <c r="D41" s="20"/>
      <c r="E41" s="8"/>
      <c r="F41" s="8"/>
      <c r="G41" s="8"/>
      <c r="H41" s="8"/>
      <c r="I41" s="10">
        <f t="shared" si="0"/>
      </c>
    </row>
    <row r="42" spans="1:9" ht="9.75">
      <c r="A42" s="21"/>
      <c r="C42" s="16" t="s">
        <v>614</v>
      </c>
      <c r="D42" s="20"/>
      <c r="E42" s="8"/>
      <c r="F42" s="8"/>
      <c r="G42" s="8"/>
      <c r="H42" s="8"/>
      <c r="I42" s="10">
        <f t="shared" si="0"/>
      </c>
    </row>
    <row r="43" spans="1:9" ht="9.75">
      <c r="A43" s="21" t="s">
        <v>89</v>
      </c>
      <c r="C43" s="16" t="s">
        <v>615</v>
      </c>
      <c r="D43" s="20"/>
      <c r="E43" s="8"/>
      <c r="F43" s="8"/>
      <c r="G43" s="8"/>
      <c r="H43" s="8"/>
      <c r="I43" s="10">
        <f t="shared" si="0"/>
      </c>
    </row>
    <row r="44" spans="1:9" ht="9.75">
      <c r="A44" s="21" t="s">
        <v>89</v>
      </c>
      <c r="C44" s="16" t="s">
        <v>616</v>
      </c>
      <c r="D44" s="20"/>
      <c r="E44" s="8"/>
      <c r="F44" s="8"/>
      <c r="G44" s="8"/>
      <c r="H44" s="8"/>
      <c r="I44" s="10">
        <f t="shared" si="0"/>
      </c>
    </row>
    <row r="45" spans="1:9" ht="9.75">
      <c r="A45" s="21"/>
      <c r="C45" s="16" t="s">
        <v>617</v>
      </c>
      <c r="D45" s="20"/>
      <c r="E45" s="8"/>
      <c r="F45" s="8"/>
      <c r="G45" s="8"/>
      <c r="H45" s="8"/>
      <c r="I45" s="10">
        <f t="shared" si="0"/>
      </c>
    </row>
    <row r="46" spans="1:9" ht="9.75">
      <c r="A46" s="21"/>
      <c r="C46" s="16" t="s">
        <v>618</v>
      </c>
      <c r="D46" s="20"/>
      <c r="E46" s="8"/>
      <c r="F46" s="8"/>
      <c r="G46" s="8"/>
      <c r="H46" s="8"/>
      <c r="I46" s="10">
        <f t="shared" si="0"/>
      </c>
    </row>
    <row r="47" spans="1:9" ht="9.75">
      <c r="A47" s="21" t="s">
        <v>89</v>
      </c>
      <c r="C47" s="16" t="s">
        <v>619</v>
      </c>
      <c r="D47" s="20"/>
      <c r="E47" s="8"/>
      <c r="F47" s="8"/>
      <c r="G47" s="8"/>
      <c r="H47" s="8"/>
      <c r="I47" s="10">
        <f t="shared" si="0"/>
      </c>
    </row>
    <row r="48" spans="1:9" ht="9.75">
      <c r="A48" s="21"/>
      <c r="C48" s="16" t="s">
        <v>620</v>
      </c>
      <c r="D48" s="20"/>
      <c r="E48" s="8"/>
      <c r="F48" s="8"/>
      <c r="G48" s="8"/>
      <c r="H48" s="8"/>
      <c r="I48" s="10">
        <f t="shared" si="0"/>
      </c>
    </row>
    <row r="49" spans="1:9" ht="9.75">
      <c r="A49" s="21"/>
      <c r="C49" s="16" t="s">
        <v>621</v>
      </c>
      <c r="D49" s="20"/>
      <c r="E49" s="8"/>
      <c r="F49" s="8"/>
      <c r="G49" s="8"/>
      <c r="H49" s="8"/>
      <c r="I49" s="10">
        <f t="shared" si="0"/>
      </c>
    </row>
    <row r="50" spans="1:9" ht="9.75">
      <c r="A50" s="21" t="s">
        <v>89</v>
      </c>
      <c r="C50" s="16" t="s">
        <v>622</v>
      </c>
      <c r="D50" s="20"/>
      <c r="E50" s="8"/>
      <c r="F50" s="8"/>
      <c r="G50" s="8"/>
      <c r="H50" s="8"/>
      <c r="I50" s="10">
        <f t="shared" si="0"/>
      </c>
    </row>
    <row r="51" spans="1:9" ht="9.75">
      <c r="A51" s="21" t="s">
        <v>89</v>
      </c>
      <c r="C51" s="16" t="s">
        <v>623</v>
      </c>
      <c r="D51" s="20"/>
      <c r="E51" s="8"/>
      <c r="F51" s="8"/>
      <c r="G51" s="8"/>
      <c r="H51" s="8"/>
      <c r="I51" s="10">
        <f t="shared" si="0"/>
      </c>
    </row>
    <row r="52" spans="1:9" ht="9.75">
      <c r="A52" s="21"/>
      <c r="C52" s="16" t="s">
        <v>624</v>
      </c>
      <c r="D52" s="20"/>
      <c r="E52" s="8"/>
      <c r="F52" s="8"/>
      <c r="G52" s="8"/>
      <c r="H52" s="8"/>
      <c r="I52" s="10">
        <f t="shared" si="0"/>
      </c>
    </row>
    <row r="53" spans="1:9" ht="9.75">
      <c r="A53" s="21"/>
      <c r="C53" s="16" t="s">
        <v>625</v>
      </c>
      <c r="D53" s="20"/>
      <c r="E53" s="8"/>
      <c r="F53" s="8"/>
      <c r="G53" s="8"/>
      <c r="H53" s="8"/>
      <c r="I53" s="10">
        <f t="shared" si="0"/>
      </c>
    </row>
    <row r="54" spans="1:9" ht="9.75">
      <c r="A54" s="21" t="s">
        <v>89</v>
      </c>
      <c r="C54" s="16" t="s">
        <v>626</v>
      </c>
      <c r="D54" s="20"/>
      <c r="E54" s="8"/>
      <c r="F54" s="8"/>
      <c r="G54" s="8"/>
      <c r="H54" s="8"/>
      <c r="I54" s="10">
        <f t="shared" si="0"/>
      </c>
    </row>
    <row r="55" spans="1:9" ht="9.75">
      <c r="A55" s="21"/>
      <c r="C55" s="16" t="s">
        <v>627</v>
      </c>
      <c r="D55" s="20"/>
      <c r="E55" s="8"/>
      <c r="F55" s="8"/>
      <c r="G55" s="8"/>
      <c r="H55" s="8"/>
      <c r="I55" s="10">
        <f t="shared" si="0"/>
      </c>
    </row>
    <row r="56" spans="1:9" ht="9.75">
      <c r="A56" s="21"/>
      <c r="C56" s="16" t="s">
        <v>628</v>
      </c>
      <c r="D56" s="20"/>
      <c r="E56" s="8"/>
      <c r="F56" s="8"/>
      <c r="G56" s="8"/>
      <c r="H56" s="8"/>
      <c r="I56" s="10">
        <f t="shared" si="0"/>
      </c>
    </row>
    <row r="57" spans="1:9" ht="9.75">
      <c r="A57" s="21" t="s">
        <v>89</v>
      </c>
      <c r="C57" s="16" t="s">
        <v>629</v>
      </c>
      <c r="D57" s="20"/>
      <c r="E57" s="8"/>
      <c r="F57" s="8"/>
      <c r="G57" s="8"/>
      <c r="H57" s="8"/>
      <c r="I57" s="10">
        <f t="shared" si="0"/>
      </c>
    </row>
    <row r="58" spans="1:9" ht="9.75">
      <c r="A58" s="21" t="s">
        <v>89</v>
      </c>
      <c r="C58" s="16" t="s">
        <v>630</v>
      </c>
      <c r="D58" s="20"/>
      <c r="E58" s="8"/>
      <c r="F58" s="8"/>
      <c r="G58" s="8"/>
      <c r="H58" s="8"/>
      <c r="I58" s="10">
        <f t="shared" si="0"/>
      </c>
    </row>
    <row r="59" spans="1:9" ht="9.75">
      <c r="A59" s="21"/>
      <c r="C59" s="16" t="s">
        <v>631</v>
      </c>
      <c r="D59" s="20"/>
      <c r="E59" s="8"/>
      <c r="F59" s="8"/>
      <c r="G59" s="8"/>
      <c r="H59" s="8"/>
      <c r="I59" s="10">
        <f t="shared" si="0"/>
      </c>
    </row>
    <row r="60" spans="1:9" ht="9.75">
      <c r="A60" s="21"/>
      <c r="C60" s="16" t="s">
        <v>632</v>
      </c>
      <c r="D60" s="20"/>
      <c r="E60" s="8"/>
      <c r="F60" s="8"/>
      <c r="G60" s="8"/>
      <c r="H60" s="8"/>
      <c r="I60" s="10">
        <f t="shared" si="0"/>
      </c>
    </row>
    <row r="61" spans="1:9" ht="9.75">
      <c r="A61" s="21" t="s">
        <v>89</v>
      </c>
      <c r="C61" s="16" t="s">
        <v>633</v>
      </c>
      <c r="D61" s="20"/>
      <c r="E61" s="8"/>
      <c r="F61" s="8"/>
      <c r="G61" s="8"/>
      <c r="H61" s="8"/>
      <c r="I61" s="10">
        <f t="shared" si="0"/>
      </c>
    </row>
    <row r="62" spans="1:9" ht="9.75">
      <c r="A62" s="21"/>
      <c r="C62" s="16" t="s">
        <v>634</v>
      </c>
      <c r="D62" s="20"/>
      <c r="E62" s="8"/>
      <c r="F62" s="8"/>
      <c r="G62" s="8"/>
      <c r="H62" s="8"/>
      <c r="I62" s="10">
        <f t="shared" si="0"/>
      </c>
    </row>
    <row r="63" spans="1:9" ht="9.75">
      <c r="A63" s="21"/>
      <c r="C63" s="16" t="s">
        <v>635</v>
      </c>
      <c r="D63" s="20"/>
      <c r="E63" s="8"/>
      <c r="F63" s="8"/>
      <c r="G63" s="8"/>
      <c r="H63" s="8"/>
      <c r="I63" s="10">
        <f t="shared" si="0"/>
      </c>
    </row>
    <row r="64" spans="1:11" ht="9.75">
      <c r="A64" s="21" t="s">
        <v>89</v>
      </c>
      <c r="C64" s="16" t="s">
        <v>636</v>
      </c>
      <c r="D64" s="20"/>
      <c r="E64" s="8"/>
      <c r="F64" s="8"/>
      <c r="G64" s="8"/>
      <c r="H64" s="8"/>
      <c r="I64" s="10">
        <f t="shared" si="0"/>
      </c>
      <c r="K64" s="18" t="s">
        <v>286</v>
      </c>
    </row>
    <row r="65" spans="1:11" ht="9.75">
      <c r="A65" s="21" t="s">
        <v>89</v>
      </c>
      <c r="C65" s="120" t="s">
        <v>160</v>
      </c>
      <c r="D65" s="121" t="s">
        <v>324</v>
      </c>
      <c r="E65" s="122"/>
      <c r="F65" s="122"/>
      <c r="G65" s="170"/>
      <c r="H65" s="123"/>
      <c r="I65" s="23">
        <f>COUNT(I7:I64)</f>
        <v>30</v>
      </c>
      <c r="K65" s="124">
        <f>IF(AND(COUNTA(E7:H64)&gt;0,COUNTA(E7:H64)&gt;COUNT(E7:H64)),"!!! Возможно итоговая сумма посчитана не верно. Проверьте данные по целевым программам: в столбцах 2, 3, 4, 5 таблицы должны содержаться только числовые значения.","")</f>
      </c>
    </row>
    <row r="66" spans="1:11" ht="21" thickBot="1">
      <c r="A66" s="21" t="s">
        <v>89</v>
      </c>
      <c r="C66" s="120" t="s">
        <v>161</v>
      </c>
      <c r="D66" s="121" t="s">
        <v>325</v>
      </c>
      <c r="E66" s="122"/>
      <c r="F66" s="122"/>
      <c r="G66" s="122"/>
      <c r="H66" s="123"/>
      <c r="I66" s="23">
        <f>COUNTIF(I7:I64,"&gt;0,15")</f>
        <v>6</v>
      </c>
      <c r="K66" s="81">
        <f>IF(I66="","",IF(ISTEXT(I66),"!!! Неверное значение.",""))</f>
      </c>
    </row>
    <row r="67" spans="1:11" ht="21" thickBot="1">
      <c r="A67" s="21" t="s">
        <v>89</v>
      </c>
      <c r="C67" s="125" t="s">
        <v>162</v>
      </c>
      <c r="D67" s="84" t="s">
        <v>361</v>
      </c>
      <c r="E67" s="85"/>
      <c r="F67" s="126"/>
      <c r="G67" s="126"/>
      <c r="H67" s="126"/>
      <c r="I67" s="7">
        <f>IF(AND(COUNT(I65:I66)=2,I65&lt;&gt;0),I66/I65,"")</f>
        <v>0.2</v>
      </c>
      <c r="K67" s="124"/>
    </row>
    <row r="69" spans="3:9" ht="10.5" thickBot="1">
      <c r="C69" s="106" t="s">
        <v>90</v>
      </c>
      <c r="D69" s="106"/>
      <c r="E69" s="106"/>
      <c r="F69" s="106"/>
      <c r="G69" s="106"/>
      <c r="H69" s="106"/>
      <c r="I69" s="106"/>
    </row>
    <row r="70" ht="9.75">
      <c r="G70" s="168"/>
    </row>
    <row r="71" spans="3:7" ht="10.5" customHeight="1">
      <c r="C71" s="185">
        <f>IF(I67="","Индикатор не может быть посчитан: деление на ноль либо отсутствуют данные для его расчета","")</f>
      </c>
      <c r="D71" s="185"/>
      <c r="E71" s="185"/>
      <c r="F71" s="185"/>
      <c r="G71" s="185"/>
    </row>
    <row r="73" spans="1:10" s="107" customFormat="1" ht="27" customHeight="1">
      <c r="A73" s="127"/>
      <c r="C73" s="107" t="s">
        <v>147</v>
      </c>
      <c r="D73" s="186" t="s">
        <v>384</v>
      </c>
      <c r="E73" s="186"/>
      <c r="F73" s="186"/>
      <c r="G73" s="186"/>
      <c r="H73" s="186"/>
      <c r="I73" s="186"/>
      <c r="J73" s="128"/>
    </row>
    <row r="74" spans="1:10" s="107" customFormat="1" ht="24.75" customHeight="1">
      <c r="A74" s="127"/>
      <c r="C74" s="107" t="s">
        <v>154</v>
      </c>
      <c r="D74" s="186" t="s">
        <v>432</v>
      </c>
      <c r="E74" s="186"/>
      <c r="F74" s="186"/>
      <c r="G74" s="186"/>
      <c r="H74" s="186"/>
      <c r="J74" s="128"/>
    </row>
    <row r="75" spans="1:10" s="107" customFormat="1" ht="14.25" customHeight="1">
      <c r="A75" s="127"/>
      <c r="C75" s="107" t="s">
        <v>155</v>
      </c>
      <c r="D75" s="107" t="s">
        <v>326</v>
      </c>
      <c r="J75" s="128"/>
    </row>
    <row r="76" spans="3:4" ht="9.75">
      <c r="C76" s="107" t="s">
        <v>156</v>
      </c>
      <c r="D76" s="107" t="s">
        <v>327</v>
      </c>
    </row>
  </sheetData>
  <sheetProtection password="CF7A" sheet="1" objects="1" scenarios="1" insertRows="0"/>
  <mergeCells count="4">
    <mergeCell ref="C71:G71"/>
    <mergeCell ref="D73:I73"/>
    <mergeCell ref="C2:I2"/>
    <mergeCell ref="D74:H74"/>
  </mergeCells>
  <printOptions/>
  <pageMargins left="0.1968503937007874" right="0.1968503937007874" top="0.7480314960629921" bottom="0.7480314960629921" header="0.31496062992125984" footer="0.31496062992125984"/>
  <pageSetup fitToHeight="0"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dimension ref="A1:G16"/>
  <sheetViews>
    <sheetView zoomScale="82" zoomScaleNormal="82" zoomScalePageLayoutView="0" workbookViewId="0" topLeftCell="C1">
      <selection activeCell="E9" sqref="E9"/>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1.421875" style="1" customWidth="1"/>
    <col min="7" max="7" width="76.57421875" style="22" bestFit="1" customWidth="1"/>
    <col min="8" max="16384" width="9.28125" style="22" customWidth="1"/>
  </cols>
  <sheetData>
    <row r="1" spans="1:3" ht="9.75">
      <c r="A1" s="54" t="s">
        <v>89</v>
      </c>
      <c r="C1" s="55"/>
    </row>
    <row r="2" spans="1:5" ht="27" customHeight="1" thickBot="1">
      <c r="A2" s="54" t="s">
        <v>89</v>
      </c>
      <c r="C2" s="184" t="s">
        <v>236</v>
      </c>
      <c r="D2" s="184"/>
      <c r="E2" s="184"/>
    </row>
    <row r="3" spans="1:7" s="67" customFormat="1" ht="9.75">
      <c r="A3" s="62" t="s">
        <v>89</v>
      </c>
      <c r="C3" s="64"/>
      <c r="D3" s="96" t="s">
        <v>386</v>
      </c>
      <c r="E3" s="129"/>
      <c r="F3" s="2"/>
      <c r="G3" s="22"/>
    </row>
    <row r="4" spans="1:5" ht="30.75" customHeight="1">
      <c r="A4" s="21" t="s">
        <v>92</v>
      </c>
      <c r="C4" s="99" t="s">
        <v>142</v>
      </c>
      <c r="D4" s="150" t="s">
        <v>350</v>
      </c>
      <c r="E4" s="101" t="s">
        <v>387</v>
      </c>
    </row>
    <row r="5" spans="1:7" ht="69" customHeight="1">
      <c r="A5" s="21" t="s">
        <v>89</v>
      </c>
      <c r="C5" s="32" t="s">
        <v>164</v>
      </c>
      <c r="D5" s="136" t="s">
        <v>399</v>
      </c>
      <c r="E5" s="6" t="s">
        <v>824</v>
      </c>
      <c r="F5" s="158">
        <f>COUNTBLANK(E5:E7)</f>
        <v>0</v>
      </c>
      <c r="G5" s="81"/>
    </row>
    <row r="6" spans="3:7" ht="30">
      <c r="C6" s="32" t="s">
        <v>160</v>
      </c>
      <c r="D6" s="136" t="s">
        <v>400</v>
      </c>
      <c r="E6" s="6" t="s">
        <v>823</v>
      </c>
      <c r="G6" s="81"/>
    </row>
    <row r="7" spans="3:7" ht="41.25" thickBot="1">
      <c r="C7" s="32">
        <v>3</v>
      </c>
      <c r="D7" s="136" t="s">
        <v>401</v>
      </c>
      <c r="E7" s="6" t="s">
        <v>801</v>
      </c>
      <c r="G7" s="81"/>
    </row>
    <row r="8" spans="3:5" ht="10.5" thickBot="1">
      <c r="C8" s="88"/>
      <c r="D8" s="137"/>
      <c r="E8" s="7" t="str">
        <f>+IF(F5="","",(IF(F5=0,"да","нет")))</f>
        <v>да</v>
      </c>
    </row>
    <row r="9" spans="3:5" ht="10.5" thickBot="1">
      <c r="C9" s="106" t="s">
        <v>90</v>
      </c>
      <c r="D9" s="106"/>
      <c r="E9" s="106"/>
    </row>
    <row r="11" spans="3:5" ht="9.75">
      <c r="C11" s="185"/>
      <c r="D11" s="185"/>
      <c r="E11" s="185"/>
    </row>
    <row r="13" spans="1:6" s="107" customFormat="1" ht="15" customHeight="1">
      <c r="A13" s="143"/>
      <c r="C13" s="107" t="s">
        <v>147</v>
      </c>
      <c r="D13" s="186" t="s">
        <v>163</v>
      </c>
      <c r="E13" s="186"/>
      <c r="F13" s="4"/>
    </row>
    <row r="14" spans="3:5" ht="26.25" customHeight="1">
      <c r="C14" s="107" t="s">
        <v>154</v>
      </c>
      <c r="D14" s="186" t="s">
        <v>167</v>
      </c>
      <c r="E14" s="186"/>
    </row>
    <row r="15" spans="3:5" ht="18" customHeight="1">
      <c r="C15" s="107" t="s">
        <v>155</v>
      </c>
      <c r="D15" s="186" t="s">
        <v>585</v>
      </c>
      <c r="E15" s="186"/>
    </row>
    <row r="16" ht="9.75">
      <c r="C16" s="107"/>
    </row>
  </sheetData>
  <sheetProtection password="CF7A" sheet="1" objects="1" scenarios="1"/>
  <mergeCells count="5">
    <mergeCell ref="D15:E15"/>
    <mergeCell ref="C2:E2"/>
    <mergeCell ref="C11:E11"/>
    <mergeCell ref="D13:E13"/>
    <mergeCell ref="D14:E1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16"/>
  <sheetViews>
    <sheetView zoomScale="77" zoomScaleNormal="77" zoomScalePageLayoutView="0" workbookViewId="0" topLeftCell="D1">
      <selection activeCell="D4" sqref="D4"/>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1.421875" style="1" customWidth="1"/>
    <col min="7" max="7" width="76.57421875" style="22" bestFit="1" customWidth="1"/>
    <col min="8" max="16384" width="9.28125" style="22" customWidth="1"/>
  </cols>
  <sheetData>
    <row r="1" spans="1:3" ht="9.75">
      <c r="A1" s="54" t="s">
        <v>89</v>
      </c>
      <c r="C1" s="55"/>
    </row>
    <row r="2" spans="1:5" ht="27" customHeight="1" thickBot="1">
      <c r="A2" s="54" t="s">
        <v>89</v>
      </c>
      <c r="C2" s="184" t="s">
        <v>236</v>
      </c>
      <c r="D2" s="184"/>
      <c r="E2" s="184"/>
    </row>
    <row r="3" spans="1:7" s="67" customFormat="1" ht="9.75">
      <c r="A3" s="62" t="s">
        <v>89</v>
      </c>
      <c r="C3" s="64"/>
      <c r="D3" s="96" t="s">
        <v>386</v>
      </c>
      <c r="E3" s="129"/>
      <c r="F3" s="2"/>
      <c r="G3" s="22"/>
    </row>
    <row r="4" spans="1:5" ht="30.75" customHeight="1">
      <c r="A4" s="21" t="s">
        <v>92</v>
      </c>
      <c r="C4" s="99" t="s">
        <v>142</v>
      </c>
      <c r="D4" s="150" t="s">
        <v>411</v>
      </c>
      <c r="E4" s="101" t="s">
        <v>387</v>
      </c>
    </row>
    <row r="5" spans="1:7" ht="45.75" customHeight="1">
      <c r="A5" s="21" t="s">
        <v>89</v>
      </c>
      <c r="C5" s="32" t="s">
        <v>164</v>
      </c>
      <c r="D5" s="136" t="s">
        <v>402</v>
      </c>
      <c r="E5" s="6" t="s">
        <v>787</v>
      </c>
      <c r="F5" s="158">
        <f>COUNTBLANK(E5:E7)</f>
        <v>0</v>
      </c>
      <c r="G5" s="81"/>
    </row>
    <row r="6" spans="3:7" ht="60.75">
      <c r="C6" s="32" t="s">
        <v>160</v>
      </c>
      <c r="D6" s="136" t="s">
        <v>403</v>
      </c>
      <c r="E6" s="6" t="s">
        <v>786</v>
      </c>
      <c r="G6" s="81"/>
    </row>
    <row r="7" spans="3:7" ht="41.25" thickBot="1">
      <c r="C7" s="32">
        <v>3</v>
      </c>
      <c r="D7" s="136" t="s">
        <v>404</v>
      </c>
      <c r="E7" s="6" t="s">
        <v>683</v>
      </c>
      <c r="G7" s="81"/>
    </row>
    <row r="8" spans="3:5" ht="10.5" thickBot="1">
      <c r="C8" s="88"/>
      <c r="D8" s="137"/>
      <c r="E8" s="7" t="str">
        <f>+IF(F5="","",(IF(F5=0,"да","нет")))</f>
        <v>да</v>
      </c>
    </row>
    <row r="9" spans="3:5" ht="10.5" thickBot="1">
      <c r="C9" s="106" t="s">
        <v>90</v>
      </c>
      <c r="D9" s="106"/>
      <c r="E9" s="106"/>
    </row>
    <row r="11" spans="3:5" ht="9.75">
      <c r="C11" s="185"/>
      <c r="D11" s="185"/>
      <c r="E11" s="185"/>
    </row>
    <row r="13" spans="1:6" s="107" customFormat="1" ht="15" customHeight="1">
      <c r="A13" s="143"/>
      <c r="C13" s="107" t="s">
        <v>147</v>
      </c>
      <c r="D13" s="186" t="s">
        <v>163</v>
      </c>
      <c r="E13" s="186"/>
      <c r="F13" s="4"/>
    </row>
    <row r="14" spans="3:5" ht="26.25" customHeight="1">
      <c r="C14" s="107" t="s">
        <v>154</v>
      </c>
      <c r="D14" s="186" t="s">
        <v>167</v>
      </c>
      <c r="E14" s="186"/>
    </row>
    <row r="15" spans="3:5" ht="18" customHeight="1">
      <c r="C15" s="107" t="s">
        <v>155</v>
      </c>
      <c r="D15" s="186" t="s">
        <v>585</v>
      </c>
      <c r="E15" s="186"/>
    </row>
    <row r="16" ht="9.75">
      <c r="C16" s="107"/>
    </row>
  </sheetData>
  <sheetProtection password="CF7A" sheet="1" objects="1" scenarios="1"/>
  <mergeCells count="5">
    <mergeCell ref="D15:E15"/>
    <mergeCell ref="C2:E2"/>
    <mergeCell ref="C11:E11"/>
    <mergeCell ref="D13:E13"/>
    <mergeCell ref="D14:E1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26"/>
  <sheetViews>
    <sheetView zoomScalePageLayoutView="0" workbookViewId="0" topLeftCell="B1">
      <selection activeCell="D6" sqref="D6"/>
    </sheetView>
  </sheetViews>
  <sheetFormatPr defaultColWidth="9.28125" defaultRowHeight="15"/>
  <cols>
    <col min="1" max="1" width="4.421875" style="105" hidden="1" customWidth="1"/>
    <col min="2" max="2" width="1.421875" style="22" customWidth="1"/>
    <col min="3" max="3" width="6.421875" style="22" customWidth="1"/>
    <col min="4" max="4" width="51.421875" style="22" customWidth="1"/>
    <col min="5" max="7" width="25.7109375" style="22" customWidth="1"/>
    <col min="8" max="8" width="1.421875" style="17" customWidth="1"/>
    <col min="9" max="9" width="76.57421875" style="22" bestFit="1" customWidth="1"/>
    <col min="10" max="16384" width="9.28125" style="22" customWidth="1"/>
  </cols>
  <sheetData>
    <row r="1" spans="1:3" ht="9.75">
      <c r="A1" s="54" t="s">
        <v>89</v>
      </c>
      <c r="B1" s="80"/>
      <c r="C1" s="55"/>
    </row>
    <row r="2" spans="1:7" ht="24.75" customHeight="1">
      <c r="A2" s="54" t="s">
        <v>89</v>
      </c>
      <c r="B2" s="80"/>
      <c r="C2" s="193" t="s">
        <v>236</v>
      </c>
      <c r="D2" s="193"/>
      <c r="E2" s="193"/>
      <c r="F2" s="193"/>
      <c r="G2" s="193"/>
    </row>
    <row r="3" spans="1:9" s="67" customFormat="1" ht="9.75">
      <c r="A3" s="62" t="s">
        <v>89</v>
      </c>
      <c r="B3" s="94"/>
      <c r="C3" s="95"/>
      <c r="D3" s="96" t="s">
        <v>362</v>
      </c>
      <c r="H3" s="63"/>
      <c r="I3" s="22"/>
    </row>
    <row r="4" spans="1:7" ht="38.25" customHeight="1">
      <c r="A4" s="21" t="s">
        <v>89</v>
      </c>
      <c r="C4" s="68" t="s">
        <v>142</v>
      </c>
      <c r="D4" s="69" t="s">
        <v>433</v>
      </c>
      <c r="E4" s="68" t="s">
        <v>328</v>
      </c>
      <c r="F4" s="68" t="s">
        <v>329</v>
      </c>
      <c r="G4" s="101" t="s">
        <v>330</v>
      </c>
    </row>
    <row r="5" spans="1:9" s="17" customFormat="1" ht="9.75">
      <c r="A5" s="105" t="s">
        <v>89</v>
      </c>
      <c r="C5" s="112"/>
      <c r="D5" s="113">
        <v>1</v>
      </c>
      <c r="E5" s="114">
        <v>2</v>
      </c>
      <c r="F5" s="114">
        <v>3</v>
      </c>
      <c r="G5" s="114">
        <v>4</v>
      </c>
      <c r="I5" s="22"/>
    </row>
    <row r="6" spans="1:7" ht="9.75">
      <c r="A6" s="21" t="s">
        <v>89</v>
      </c>
      <c r="C6" s="16" t="s">
        <v>304</v>
      </c>
      <c r="D6" s="20"/>
      <c r="E6" s="29"/>
      <c r="F6" s="29"/>
      <c r="G6" s="28">
        <f>+IF(E6&lt;&gt;0,F6/E6,"")</f>
      </c>
    </row>
    <row r="7" spans="1:7" ht="9.75">
      <c r="A7" s="21" t="s">
        <v>89</v>
      </c>
      <c r="C7" s="16" t="s">
        <v>305</v>
      </c>
      <c r="D7" s="20"/>
      <c r="E7" s="29"/>
      <c r="F7" s="29"/>
      <c r="G7" s="28">
        <f aca="true" t="shared" si="0" ref="G7:G15">+IF(E7&lt;&gt;0,F7/E7,"")</f>
      </c>
    </row>
    <row r="8" spans="1:7" ht="9.75">
      <c r="A8" s="21" t="s">
        <v>89</v>
      </c>
      <c r="C8" s="16" t="s">
        <v>306</v>
      </c>
      <c r="D8" s="20"/>
      <c r="E8" s="29"/>
      <c r="F8" s="29"/>
      <c r="G8" s="28">
        <f t="shared" si="0"/>
      </c>
    </row>
    <row r="9" spans="1:7" ht="9.75">
      <c r="A9" s="21" t="s">
        <v>89</v>
      </c>
      <c r="C9" s="16" t="s">
        <v>307</v>
      </c>
      <c r="D9" s="20"/>
      <c r="E9" s="29"/>
      <c r="F9" s="29"/>
      <c r="G9" s="28">
        <f t="shared" si="0"/>
      </c>
    </row>
    <row r="10" spans="1:7" ht="9.75">
      <c r="A10" s="21" t="s">
        <v>89</v>
      </c>
      <c r="C10" s="16" t="s">
        <v>308</v>
      </c>
      <c r="D10" s="20"/>
      <c r="E10" s="29"/>
      <c r="F10" s="29"/>
      <c r="G10" s="28">
        <f t="shared" si="0"/>
      </c>
    </row>
    <row r="11" spans="1:7" ht="9.75">
      <c r="A11" s="21" t="s">
        <v>89</v>
      </c>
      <c r="C11" s="16" t="s">
        <v>320</v>
      </c>
      <c r="D11" s="20"/>
      <c r="E11" s="29"/>
      <c r="F11" s="29"/>
      <c r="G11" s="28">
        <f t="shared" si="0"/>
      </c>
    </row>
    <row r="12" spans="1:7" ht="9.75">
      <c r="A12" s="21" t="s">
        <v>89</v>
      </c>
      <c r="C12" s="16" t="s">
        <v>321</v>
      </c>
      <c r="D12" s="20"/>
      <c r="E12" s="29"/>
      <c r="F12" s="29"/>
      <c r="G12" s="28">
        <f t="shared" si="0"/>
      </c>
    </row>
    <row r="13" spans="1:7" ht="9.75">
      <c r="A13" s="21" t="s">
        <v>89</v>
      </c>
      <c r="C13" s="16" t="s">
        <v>322</v>
      </c>
      <c r="D13" s="20"/>
      <c r="E13" s="29"/>
      <c r="F13" s="29"/>
      <c r="G13" s="28">
        <f t="shared" si="0"/>
      </c>
    </row>
    <row r="14" spans="1:7" ht="9.75">
      <c r="A14" s="21" t="s">
        <v>89</v>
      </c>
      <c r="C14" s="16" t="s">
        <v>323</v>
      </c>
      <c r="D14" s="20"/>
      <c r="E14" s="29"/>
      <c r="F14" s="29"/>
      <c r="G14" s="28">
        <f t="shared" si="0"/>
      </c>
    </row>
    <row r="15" spans="1:9" ht="9.75">
      <c r="A15" s="21" t="s">
        <v>89</v>
      </c>
      <c r="C15" s="16" t="s">
        <v>285</v>
      </c>
      <c r="D15" s="20"/>
      <c r="E15" s="29"/>
      <c r="F15" s="29"/>
      <c r="G15" s="28">
        <f t="shared" si="0"/>
      </c>
      <c r="I15" s="18" t="s">
        <v>286</v>
      </c>
    </row>
    <row r="16" spans="1:9" ht="36.75" customHeight="1" thickBot="1">
      <c r="A16" s="21" t="s">
        <v>89</v>
      </c>
      <c r="C16" s="120" t="s">
        <v>160</v>
      </c>
      <c r="D16" s="121" t="s">
        <v>434</v>
      </c>
      <c r="E16" s="122"/>
      <c r="F16" s="122"/>
      <c r="G16" s="19">
        <f>IF(COUNT(G6:G15)&gt;0,COUNTIF(G6:G15,100%),"")</f>
      </c>
      <c r="I16" s="81">
        <f>IF(G16="","",IF(ISTEXT(G16),"!!! Неверное значение.",""))</f>
      </c>
    </row>
    <row r="17" spans="1:9" ht="21" thickBot="1">
      <c r="A17" s="21" t="s">
        <v>89</v>
      </c>
      <c r="C17" s="125" t="s">
        <v>161</v>
      </c>
      <c r="D17" s="84" t="s">
        <v>335</v>
      </c>
      <c r="E17" s="85"/>
      <c r="F17" s="85"/>
      <c r="G17" s="7">
        <f>+IF(G16="","",(IF(G16&gt;0,"да","нет")))</f>
      </c>
      <c r="I17" s="124"/>
    </row>
    <row r="19" spans="3:7" ht="10.5" thickBot="1">
      <c r="C19" s="106" t="s">
        <v>90</v>
      </c>
      <c r="D19" s="106"/>
      <c r="E19" s="106"/>
      <c r="F19" s="106"/>
      <c r="G19" s="106"/>
    </row>
    <row r="21" spans="3:5" ht="9.75">
      <c r="C21" s="185" t="str">
        <f>IF(E17="","Индикатор не может быть посчитан: деление на ноль либо отсутствуют данные для его расчета","")</f>
        <v>Индикатор не может быть посчитан: деление на ноль либо отсутствуют данные для его расчета</v>
      </c>
      <c r="D21" s="185"/>
      <c r="E21" s="185"/>
    </row>
    <row r="23" spans="3:7" ht="16.5" customHeight="1">
      <c r="C23" s="107"/>
      <c r="D23" s="186"/>
      <c r="E23" s="186"/>
      <c r="F23" s="186"/>
      <c r="G23" s="186"/>
    </row>
    <row r="24" spans="3:7" ht="16.5" customHeight="1">
      <c r="C24" s="107" t="s">
        <v>147</v>
      </c>
      <c r="D24" s="186" t="s">
        <v>331</v>
      </c>
      <c r="E24" s="186"/>
      <c r="F24" s="186"/>
      <c r="G24" s="186"/>
    </row>
    <row r="25" spans="3:7" ht="16.5" customHeight="1">
      <c r="C25" s="107" t="s">
        <v>154</v>
      </c>
      <c r="D25" s="186" t="s">
        <v>332</v>
      </c>
      <c r="E25" s="186"/>
      <c r="F25" s="186"/>
      <c r="G25" s="186"/>
    </row>
    <row r="26" spans="3:4" ht="9.75">
      <c r="C26" s="107" t="s">
        <v>155</v>
      </c>
      <c r="D26" s="22" t="s">
        <v>333</v>
      </c>
    </row>
  </sheetData>
  <sheetProtection password="CF7A" sheet="1" objects="1" scenarios="1" insertRows="0"/>
  <mergeCells count="5">
    <mergeCell ref="D25:G25"/>
    <mergeCell ref="C2:G2"/>
    <mergeCell ref="C21:E21"/>
    <mergeCell ref="D23:G23"/>
    <mergeCell ref="D24:G2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K78"/>
  <sheetViews>
    <sheetView zoomScale="70" zoomScaleNormal="70" zoomScalePageLayoutView="0" workbookViewId="0" topLeftCell="D7">
      <selection activeCell="H47" sqref="H47"/>
    </sheetView>
  </sheetViews>
  <sheetFormatPr defaultColWidth="9.28125" defaultRowHeight="25.5" customHeight="1"/>
  <cols>
    <col min="1" max="1" width="4.421875" style="21" hidden="1" customWidth="1"/>
    <col min="2" max="2" width="1.421875" style="22" customWidth="1"/>
    <col min="3" max="3" width="6.421875" style="22" customWidth="1"/>
    <col min="4" max="4" width="40.7109375" style="22" customWidth="1"/>
    <col min="5" max="5" width="7.421875" style="22" customWidth="1"/>
    <col min="6" max="6" width="25.57421875" style="22" customWidth="1"/>
    <col min="7" max="7" width="11.421875" style="22" customWidth="1"/>
    <col min="8" max="8" width="24.00390625" style="17" customWidth="1"/>
    <col min="9" max="9" width="14.28125" style="22" customWidth="1"/>
    <col min="10" max="10" width="23.57421875" style="22" customWidth="1"/>
    <col min="11" max="11" width="12.421875" style="22" customWidth="1"/>
    <col min="12" max="16384" width="9.28125" style="22" customWidth="1"/>
  </cols>
  <sheetData>
    <row r="1" spans="1:11" ht="25.5" customHeight="1">
      <c r="A1" s="54" t="s">
        <v>89</v>
      </c>
      <c r="C1" s="203" t="s">
        <v>236</v>
      </c>
      <c r="D1" s="203"/>
      <c r="E1" s="203"/>
      <c r="F1" s="203"/>
      <c r="G1" s="203"/>
      <c r="H1" s="203"/>
      <c r="I1" s="203"/>
      <c r="J1" s="203"/>
      <c r="K1" s="203"/>
    </row>
    <row r="2" spans="1:9" s="67" customFormat="1" ht="25.5" customHeight="1">
      <c r="A2" s="62" t="s">
        <v>89</v>
      </c>
      <c r="C2" s="64"/>
      <c r="D2" s="96" t="s">
        <v>406</v>
      </c>
      <c r="E2" s="129"/>
      <c r="F2" s="129"/>
      <c r="G2" s="129"/>
      <c r="H2" s="63"/>
      <c r="I2" s="22"/>
    </row>
    <row r="3" spans="1:11" ht="78.75" customHeight="1">
      <c r="A3" s="21" t="s">
        <v>92</v>
      </c>
      <c r="C3" s="99" t="s">
        <v>142</v>
      </c>
      <c r="D3" s="130" t="s">
        <v>353</v>
      </c>
      <c r="E3" s="199" t="s">
        <v>405</v>
      </c>
      <c r="F3" s="201"/>
      <c r="G3" s="202"/>
      <c r="H3" s="199" t="s">
        <v>451</v>
      </c>
      <c r="I3" s="202"/>
      <c r="J3" s="199" t="s">
        <v>278</v>
      </c>
      <c r="K3" s="200"/>
    </row>
    <row r="4" spans="1:11" ht="11.25" customHeight="1">
      <c r="A4" s="21" t="s">
        <v>89</v>
      </c>
      <c r="C4" s="131" t="s">
        <v>147</v>
      </c>
      <c r="D4" s="132" t="s">
        <v>298</v>
      </c>
      <c r="E4" s="133"/>
      <c r="F4" s="133"/>
      <c r="G4" s="134"/>
      <c r="I4" s="134"/>
      <c r="K4" s="49"/>
    </row>
    <row r="5" spans="1:11" ht="14.25" customHeight="1">
      <c r="A5" s="21" t="s">
        <v>89</v>
      </c>
      <c r="C5" s="16" t="s">
        <v>279</v>
      </c>
      <c r="D5" s="24" t="s">
        <v>684</v>
      </c>
      <c r="E5" s="196"/>
      <c r="F5" s="197"/>
      <c r="G5" s="198"/>
      <c r="H5" s="196"/>
      <c r="I5" s="197"/>
      <c r="J5" s="194"/>
      <c r="K5" s="195"/>
    </row>
    <row r="6" spans="3:11" ht="13.5" customHeight="1">
      <c r="C6" s="16" t="s">
        <v>280</v>
      </c>
      <c r="D6" s="24" t="s">
        <v>685</v>
      </c>
      <c r="E6" s="196"/>
      <c r="F6" s="197"/>
      <c r="G6" s="198"/>
      <c r="H6" s="196"/>
      <c r="I6" s="197"/>
      <c r="J6" s="194"/>
      <c r="K6" s="195"/>
    </row>
    <row r="7" spans="3:11" ht="12" customHeight="1">
      <c r="C7" s="16" t="s">
        <v>281</v>
      </c>
      <c r="D7" s="24" t="s">
        <v>686</v>
      </c>
      <c r="E7" s="196"/>
      <c r="F7" s="197"/>
      <c r="G7" s="198"/>
      <c r="H7" s="196"/>
      <c r="I7" s="197"/>
      <c r="J7" s="194"/>
      <c r="K7" s="195"/>
    </row>
    <row r="8" spans="3:11" ht="12.75" customHeight="1">
      <c r="C8" s="16" t="s">
        <v>282</v>
      </c>
      <c r="D8" s="24"/>
      <c r="E8" s="196"/>
      <c r="F8" s="197"/>
      <c r="G8" s="198"/>
      <c r="H8" s="196"/>
      <c r="I8" s="197"/>
      <c r="J8" s="194"/>
      <c r="K8" s="195"/>
    </row>
    <row r="9" spans="3:11" ht="12" customHeight="1">
      <c r="C9" s="16" t="s">
        <v>284</v>
      </c>
      <c r="D9" s="24"/>
      <c r="E9" s="196"/>
      <c r="F9" s="197"/>
      <c r="G9" s="198"/>
      <c r="H9" s="196"/>
      <c r="I9" s="197"/>
      <c r="J9" s="194"/>
      <c r="K9" s="195"/>
    </row>
    <row r="10" spans="1:11" ht="12.75" customHeight="1">
      <c r="A10" s="21" t="s">
        <v>89</v>
      </c>
      <c r="C10" s="16" t="s">
        <v>285</v>
      </c>
      <c r="D10" s="24"/>
      <c r="E10" s="196"/>
      <c r="F10" s="197"/>
      <c r="G10" s="198"/>
      <c r="H10" s="196"/>
      <c r="I10" s="197"/>
      <c r="J10" s="194"/>
      <c r="K10" s="195"/>
    </row>
    <row r="11" spans="1:11" ht="9.75" customHeight="1">
      <c r="A11" s="21" t="s">
        <v>89</v>
      </c>
      <c r="C11" s="131" t="s">
        <v>154</v>
      </c>
      <c r="D11" s="132" t="s">
        <v>299</v>
      </c>
      <c r="E11" s="133"/>
      <c r="F11" s="133"/>
      <c r="G11" s="134"/>
      <c r="I11" s="134"/>
      <c r="K11" s="135"/>
    </row>
    <row r="12" spans="1:11" ht="14.25" customHeight="1">
      <c r="A12" s="21" t="s">
        <v>89</v>
      </c>
      <c r="C12" s="16" t="s">
        <v>287</v>
      </c>
      <c r="D12" s="24" t="s">
        <v>687</v>
      </c>
      <c r="E12" s="196" t="s">
        <v>20</v>
      </c>
      <c r="F12" s="197"/>
      <c r="G12" s="198"/>
      <c r="H12" s="196" t="s">
        <v>463</v>
      </c>
      <c r="I12" s="197"/>
      <c r="J12" s="194" t="s">
        <v>750</v>
      </c>
      <c r="K12" s="195"/>
    </row>
    <row r="13" spans="3:11" ht="15.75" customHeight="1">
      <c r="C13" s="16" t="s">
        <v>288</v>
      </c>
      <c r="D13" s="24" t="s">
        <v>688</v>
      </c>
      <c r="E13" s="196" t="s">
        <v>19</v>
      </c>
      <c r="F13" s="197"/>
      <c r="G13" s="198"/>
      <c r="H13" s="196" t="s">
        <v>462</v>
      </c>
      <c r="I13" s="197"/>
      <c r="J13" s="194" t="s">
        <v>780</v>
      </c>
      <c r="K13" s="195"/>
    </row>
    <row r="14" spans="3:11" ht="15" customHeight="1">
      <c r="C14" s="16" t="s">
        <v>289</v>
      </c>
      <c r="D14" s="24" t="s">
        <v>689</v>
      </c>
      <c r="E14" s="196" t="s">
        <v>21</v>
      </c>
      <c r="F14" s="197"/>
      <c r="G14" s="198"/>
      <c r="H14" s="196" t="s">
        <v>464</v>
      </c>
      <c r="I14" s="197"/>
      <c r="J14" s="194" t="s">
        <v>750</v>
      </c>
      <c r="K14" s="195"/>
    </row>
    <row r="15" spans="3:11" ht="12.75" customHeight="1">
      <c r="C15" s="16" t="s">
        <v>290</v>
      </c>
      <c r="D15" s="24" t="s">
        <v>690</v>
      </c>
      <c r="E15" s="196" t="s">
        <v>14</v>
      </c>
      <c r="F15" s="197"/>
      <c r="G15" s="198"/>
      <c r="H15" s="196" t="s">
        <v>457</v>
      </c>
      <c r="I15" s="197"/>
      <c r="J15" s="194" t="s">
        <v>750</v>
      </c>
      <c r="K15" s="195"/>
    </row>
    <row r="16" spans="3:11" ht="10.5" customHeight="1">
      <c r="C16" s="16" t="s">
        <v>291</v>
      </c>
      <c r="D16" s="24" t="s">
        <v>691</v>
      </c>
      <c r="E16" s="196" t="s">
        <v>12</v>
      </c>
      <c r="F16" s="197"/>
      <c r="G16" s="198"/>
      <c r="H16" s="196" t="s">
        <v>455</v>
      </c>
      <c r="I16" s="197"/>
      <c r="J16" s="194" t="s">
        <v>780</v>
      </c>
      <c r="K16" s="195"/>
    </row>
    <row r="17" spans="3:11" ht="10.5" customHeight="1">
      <c r="C17" s="16" t="s">
        <v>698</v>
      </c>
      <c r="D17" s="24" t="s">
        <v>692</v>
      </c>
      <c r="E17" s="163"/>
      <c r="F17" s="164" t="s">
        <v>16</v>
      </c>
      <c r="G17" s="165"/>
      <c r="H17" s="163" t="s">
        <v>459</v>
      </c>
      <c r="I17" s="164"/>
      <c r="J17" s="194" t="s">
        <v>780</v>
      </c>
      <c r="K17" s="195"/>
    </row>
    <row r="18" spans="3:11" ht="10.5" customHeight="1">
      <c r="C18" s="16" t="s">
        <v>699</v>
      </c>
      <c r="D18" s="24" t="s">
        <v>693</v>
      </c>
      <c r="E18" s="163"/>
      <c r="F18" s="164" t="s">
        <v>13</v>
      </c>
      <c r="G18" s="165"/>
      <c r="H18" s="163" t="s">
        <v>456</v>
      </c>
      <c r="I18" s="164"/>
      <c r="J18" s="194" t="s">
        <v>780</v>
      </c>
      <c r="K18" s="195"/>
    </row>
    <row r="19" spans="3:11" ht="10.5" customHeight="1">
      <c r="C19" s="16" t="s">
        <v>700</v>
      </c>
      <c r="D19" s="24" t="s">
        <v>694</v>
      </c>
      <c r="E19" s="163"/>
      <c r="F19" s="164" t="s">
        <v>11</v>
      </c>
      <c r="G19" s="165"/>
      <c r="H19" s="163" t="s">
        <v>454</v>
      </c>
      <c r="I19" s="164"/>
      <c r="J19" s="194" t="s">
        <v>780</v>
      </c>
      <c r="K19" s="195"/>
    </row>
    <row r="20" spans="3:11" ht="10.5" customHeight="1">
      <c r="C20" s="16" t="s">
        <v>701</v>
      </c>
      <c r="D20" s="24" t="s">
        <v>695</v>
      </c>
      <c r="E20" s="163"/>
      <c r="F20" s="164" t="s">
        <v>18</v>
      </c>
      <c r="G20" s="165"/>
      <c r="H20" s="163" t="s">
        <v>461</v>
      </c>
      <c r="I20" s="164"/>
      <c r="J20" s="194" t="s">
        <v>780</v>
      </c>
      <c r="K20" s="195"/>
    </row>
    <row r="21" spans="3:11" ht="10.5" customHeight="1">
      <c r="C21" s="16" t="s">
        <v>702</v>
      </c>
      <c r="D21" s="24" t="s">
        <v>696</v>
      </c>
      <c r="E21" s="163"/>
      <c r="F21" s="164" t="s">
        <v>17</v>
      </c>
      <c r="G21" s="165"/>
      <c r="H21" s="163" t="s">
        <v>460</v>
      </c>
      <c r="I21" s="164"/>
      <c r="J21" s="194" t="s">
        <v>780</v>
      </c>
      <c r="K21" s="195"/>
    </row>
    <row r="22" spans="3:11" ht="10.5" customHeight="1">
      <c r="C22" s="16" t="s">
        <v>703</v>
      </c>
      <c r="D22" s="24" t="s">
        <v>729</v>
      </c>
      <c r="E22" s="163"/>
      <c r="F22" s="164" t="s">
        <v>10</v>
      </c>
      <c r="G22" s="165"/>
      <c r="H22" s="163" t="s">
        <v>771</v>
      </c>
      <c r="I22" s="164"/>
      <c r="J22" s="194" t="s">
        <v>780</v>
      </c>
      <c r="K22" s="195"/>
    </row>
    <row r="23" spans="3:11" ht="10.5" customHeight="1">
      <c r="C23" s="16" t="s">
        <v>704</v>
      </c>
      <c r="D23" s="24" t="s">
        <v>738</v>
      </c>
      <c r="E23" s="163"/>
      <c r="F23" s="164" t="s">
        <v>22</v>
      </c>
      <c r="G23" s="165"/>
      <c r="H23" s="163" t="s">
        <v>674</v>
      </c>
      <c r="I23" s="164"/>
      <c r="J23" s="194" t="s">
        <v>780</v>
      </c>
      <c r="K23" s="195"/>
    </row>
    <row r="24" spans="3:11" ht="10.5" customHeight="1">
      <c r="C24" s="16" t="s">
        <v>705</v>
      </c>
      <c r="D24" s="24" t="s">
        <v>730</v>
      </c>
      <c r="E24" s="163"/>
      <c r="F24" s="164" t="s">
        <v>6</v>
      </c>
      <c r="G24" s="165"/>
      <c r="H24" s="163" t="s">
        <v>675</v>
      </c>
      <c r="I24" s="164"/>
      <c r="J24" s="194" t="s">
        <v>780</v>
      </c>
      <c r="K24" s="195"/>
    </row>
    <row r="25" spans="3:11" ht="10.5" customHeight="1">
      <c r="C25" s="16" t="s">
        <v>706</v>
      </c>
      <c r="D25" s="24" t="s">
        <v>731</v>
      </c>
      <c r="E25" s="163"/>
      <c r="F25" s="164" t="s">
        <v>3</v>
      </c>
      <c r="G25" s="165"/>
      <c r="H25" s="163" t="s">
        <v>467</v>
      </c>
      <c r="I25" s="164"/>
      <c r="J25" s="194" t="s">
        <v>780</v>
      </c>
      <c r="K25" s="195"/>
    </row>
    <row r="26" spans="3:11" ht="10.5" customHeight="1">
      <c r="C26" s="16" t="s">
        <v>707</v>
      </c>
      <c r="D26" s="24" t="s">
        <v>732</v>
      </c>
      <c r="E26" s="163"/>
      <c r="F26" s="164" t="s">
        <v>4</v>
      </c>
      <c r="G26" s="165"/>
      <c r="H26" s="163" t="s">
        <v>676</v>
      </c>
      <c r="I26" s="164"/>
      <c r="J26" s="194" t="s">
        <v>780</v>
      </c>
      <c r="K26" s="195"/>
    </row>
    <row r="27" spans="3:11" ht="10.5" customHeight="1">
      <c r="C27" s="16" t="s">
        <v>708</v>
      </c>
      <c r="D27" s="24" t="s">
        <v>733</v>
      </c>
      <c r="E27" s="163"/>
      <c r="F27" s="164" t="s">
        <v>7</v>
      </c>
      <c r="G27" s="165"/>
      <c r="H27" s="163" t="s">
        <v>677</v>
      </c>
      <c r="I27" s="164"/>
      <c r="J27" s="194" t="s">
        <v>780</v>
      </c>
      <c r="K27" s="195"/>
    </row>
    <row r="28" spans="3:11" ht="10.5" customHeight="1">
      <c r="C28" s="16" t="s">
        <v>709</v>
      </c>
      <c r="D28" s="24" t="s">
        <v>734</v>
      </c>
      <c r="E28" s="163"/>
      <c r="F28" s="164" t="s">
        <v>763</v>
      </c>
      <c r="G28" s="165"/>
      <c r="H28" s="163" t="s">
        <v>465</v>
      </c>
      <c r="I28" s="164"/>
      <c r="J28" s="194" t="s">
        <v>780</v>
      </c>
      <c r="K28" s="195"/>
    </row>
    <row r="29" spans="3:11" ht="10.5" customHeight="1">
      <c r="C29" s="16" t="s">
        <v>710</v>
      </c>
      <c r="D29" s="24" t="s">
        <v>735</v>
      </c>
      <c r="E29" s="163"/>
      <c r="F29" s="164" t="s">
        <v>5</v>
      </c>
      <c r="G29" s="165"/>
      <c r="H29" s="163" t="s">
        <v>678</v>
      </c>
      <c r="I29" s="164"/>
      <c r="J29" s="194" t="s">
        <v>780</v>
      </c>
      <c r="K29" s="195"/>
    </row>
    <row r="30" spans="3:11" ht="10.5" customHeight="1">
      <c r="C30" s="16" t="s">
        <v>711</v>
      </c>
      <c r="D30" s="24" t="s">
        <v>736</v>
      </c>
      <c r="E30" s="163"/>
      <c r="F30" s="164" t="s">
        <v>9</v>
      </c>
      <c r="G30" s="165"/>
      <c r="H30" s="163" t="s">
        <v>679</v>
      </c>
      <c r="I30" s="164"/>
      <c r="J30" s="194" t="s">
        <v>780</v>
      </c>
      <c r="K30" s="195"/>
    </row>
    <row r="31" spans="3:11" ht="10.5" customHeight="1">
      <c r="C31" s="16" t="s">
        <v>712</v>
      </c>
      <c r="D31" s="24" t="s">
        <v>737</v>
      </c>
      <c r="E31" s="163"/>
      <c r="F31" s="164" t="s">
        <v>8</v>
      </c>
      <c r="G31" s="165"/>
      <c r="H31" s="163" t="s">
        <v>466</v>
      </c>
      <c r="I31" s="164"/>
      <c r="J31" s="194" t="s">
        <v>780</v>
      </c>
      <c r="K31" s="195"/>
    </row>
    <row r="32" spans="3:11" ht="10.5" customHeight="1">
      <c r="C32" s="16" t="s">
        <v>713</v>
      </c>
      <c r="D32" s="24" t="s">
        <v>739</v>
      </c>
      <c r="E32" s="163"/>
      <c r="F32" s="164" t="s">
        <v>23</v>
      </c>
      <c r="G32" s="165"/>
      <c r="H32" s="163" t="s">
        <v>472</v>
      </c>
      <c r="I32" s="164"/>
      <c r="J32" s="194" t="s">
        <v>780</v>
      </c>
      <c r="K32" s="195"/>
    </row>
    <row r="33" spans="3:11" ht="10.5" customHeight="1">
      <c r="C33" s="16" t="s">
        <v>714</v>
      </c>
      <c r="D33" s="24" t="s">
        <v>740</v>
      </c>
      <c r="E33" s="163"/>
      <c r="F33" s="164" t="s">
        <v>25</v>
      </c>
      <c r="G33" s="165"/>
      <c r="H33" s="163" t="s">
        <v>468</v>
      </c>
      <c r="I33" s="164"/>
      <c r="J33" s="194" t="s">
        <v>780</v>
      </c>
      <c r="K33" s="195"/>
    </row>
    <row r="34" spans="3:11" ht="10.5" customHeight="1">
      <c r="C34" s="16" t="s">
        <v>715</v>
      </c>
      <c r="D34" s="24" t="s">
        <v>741</v>
      </c>
      <c r="E34" s="163"/>
      <c r="F34" s="164" t="s">
        <v>26</v>
      </c>
      <c r="G34" s="165"/>
      <c r="H34" s="163" t="s">
        <v>471</v>
      </c>
      <c r="I34" s="164"/>
      <c r="J34" s="194" t="s">
        <v>780</v>
      </c>
      <c r="K34" s="195"/>
    </row>
    <row r="35" spans="3:11" ht="10.5" customHeight="1">
      <c r="C35" s="16" t="s">
        <v>716</v>
      </c>
      <c r="D35" s="24" t="s">
        <v>742</v>
      </c>
      <c r="E35" s="163"/>
      <c r="F35" s="164" t="s">
        <v>28</v>
      </c>
      <c r="G35" s="165"/>
      <c r="H35" s="163" t="s">
        <v>474</v>
      </c>
      <c r="I35" s="164"/>
      <c r="J35" s="194" t="s">
        <v>780</v>
      </c>
      <c r="K35" s="195"/>
    </row>
    <row r="36" spans="3:11" ht="10.5" customHeight="1">
      <c r="C36" s="16" t="s">
        <v>717</v>
      </c>
      <c r="D36" s="24" t="s">
        <v>743</v>
      </c>
      <c r="E36" s="163"/>
      <c r="F36" s="164" t="s">
        <v>27</v>
      </c>
      <c r="G36" s="165"/>
      <c r="H36" s="163" t="s">
        <v>470</v>
      </c>
      <c r="I36" s="164"/>
      <c r="J36" s="194" t="s">
        <v>780</v>
      </c>
      <c r="K36" s="195"/>
    </row>
    <row r="37" spans="3:11" ht="10.5" customHeight="1">
      <c r="C37" s="16" t="s">
        <v>718</v>
      </c>
      <c r="D37" s="24" t="s">
        <v>744</v>
      </c>
      <c r="E37" s="163"/>
      <c r="F37" s="164" t="s">
        <v>29</v>
      </c>
      <c r="G37" s="165"/>
      <c r="H37" s="163" t="s">
        <v>473</v>
      </c>
      <c r="I37" s="164"/>
      <c r="J37" s="194" t="s">
        <v>780</v>
      </c>
      <c r="K37" s="195"/>
    </row>
    <row r="38" spans="3:11" ht="10.5" customHeight="1">
      <c r="C38" s="16" t="s">
        <v>719</v>
      </c>
      <c r="D38" s="24" t="s">
        <v>745</v>
      </c>
      <c r="E38" s="163"/>
      <c r="F38" s="164" t="s">
        <v>24</v>
      </c>
      <c r="G38" s="165"/>
      <c r="H38" s="163" t="s">
        <v>469</v>
      </c>
      <c r="I38" s="164"/>
      <c r="J38" s="194" t="s">
        <v>780</v>
      </c>
      <c r="K38" s="195"/>
    </row>
    <row r="39" spans="3:11" ht="10.5" customHeight="1">
      <c r="C39" s="16" t="s">
        <v>720</v>
      </c>
      <c r="D39" s="24" t="s">
        <v>746</v>
      </c>
      <c r="E39" s="163"/>
      <c r="F39" s="164" t="s">
        <v>30</v>
      </c>
      <c r="G39" s="165"/>
      <c r="H39" s="163" t="s">
        <v>475</v>
      </c>
      <c r="I39" s="164"/>
      <c r="J39" s="194" t="s">
        <v>780</v>
      </c>
      <c r="K39" s="195"/>
    </row>
    <row r="40" spans="3:11" ht="10.5" customHeight="1">
      <c r="C40" s="16" t="s">
        <v>721</v>
      </c>
      <c r="D40" s="24" t="s">
        <v>747</v>
      </c>
      <c r="E40" s="163"/>
      <c r="F40" s="164" t="s">
        <v>31</v>
      </c>
      <c r="G40" s="165"/>
      <c r="H40" s="163" t="s">
        <v>190</v>
      </c>
      <c r="I40" s="164"/>
      <c r="J40" s="194" t="s">
        <v>780</v>
      </c>
      <c r="K40" s="195"/>
    </row>
    <row r="41" spans="3:11" ht="10.5" customHeight="1">
      <c r="C41" s="16" t="s">
        <v>722</v>
      </c>
      <c r="D41" s="24" t="s">
        <v>748</v>
      </c>
      <c r="E41" s="163"/>
      <c r="F41" s="164" t="s">
        <v>32</v>
      </c>
      <c r="G41" s="165"/>
      <c r="H41" s="163" t="s">
        <v>192</v>
      </c>
      <c r="I41" s="164"/>
      <c r="J41" s="194" t="s">
        <v>780</v>
      </c>
      <c r="K41" s="195"/>
    </row>
    <row r="42" spans="3:11" ht="10.5" customHeight="1">
      <c r="C42" s="16" t="s">
        <v>723</v>
      </c>
      <c r="D42" s="24" t="s">
        <v>697</v>
      </c>
      <c r="E42" s="163"/>
      <c r="F42" s="164" t="s">
        <v>269</v>
      </c>
      <c r="G42" s="165"/>
      <c r="H42" s="163" t="s">
        <v>659</v>
      </c>
      <c r="I42" s="164"/>
      <c r="J42" s="194" t="s">
        <v>781</v>
      </c>
      <c r="K42" s="195"/>
    </row>
    <row r="43" spans="3:11" ht="10.5" customHeight="1">
      <c r="C43" s="16" t="s">
        <v>724</v>
      </c>
      <c r="D43" s="24" t="s">
        <v>749</v>
      </c>
      <c r="E43" s="163"/>
      <c r="F43" s="164" t="s">
        <v>782</v>
      </c>
      <c r="G43" s="165"/>
      <c r="H43" s="163" t="s">
        <v>283</v>
      </c>
      <c r="I43" s="164"/>
      <c r="J43" s="194" t="s">
        <v>750</v>
      </c>
      <c r="K43" s="195"/>
    </row>
    <row r="44" spans="3:11" ht="10.5" customHeight="1">
      <c r="C44" s="16" t="s">
        <v>725</v>
      </c>
      <c r="D44" s="24" t="s">
        <v>751</v>
      </c>
      <c r="E44" s="163"/>
      <c r="F44" s="164" t="s">
        <v>764</v>
      </c>
      <c r="G44" s="165"/>
      <c r="H44" s="163" t="s">
        <v>765</v>
      </c>
      <c r="I44" s="164"/>
      <c r="J44" s="194" t="s">
        <v>783</v>
      </c>
      <c r="K44" s="195"/>
    </row>
    <row r="45" spans="3:11" ht="10.5" customHeight="1">
      <c r="C45" s="16" t="s">
        <v>726</v>
      </c>
      <c r="D45" s="24" t="s">
        <v>752</v>
      </c>
      <c r="E45" s="163"/>
      <c r="F45" s="164" t="s">
        <v>0</v>
      </c>
      <c r="G45" s="165"/>
      <c r="H45" s="163" t="s">
        <v>765</v>
      </c>
      <c r="I45" s="164"/>
      <c r="J45" s="194" t="s">
        <v>783</v>
      </c>
      <c r="K45" s="195"/>
    </row>
    <row r="46" spans="3:11" ht="10.5" customHeight="1">
      <c r="C46" s="16" t="s">
        <v>727</v>
      </c>
      <c r="D46" s="24" t="s">
        <v>753</v>
      </c>
      <c r="E46" s="163"/>
      <c r="F46" s="164" t="s">
        <v>1</v>
      </c>
      <c r="G46" s="165"/>
      <c r="H46" s="163" t="s">
        <v>765</v>
      </c>
      <c r="I46" s="164"/>
      <c r="J46" s="194" t="s">
        <v>783</v>
      </c>
      <c r="K46" s="195"/>
    </row>
    <row r="47" spans="3:11" ht="10.5" customHeight="1">
      <c r="C47" s="16" t="s">
        <v>728</v>
      </c>
      <c r="D47" s="24" t="s">
        <v>754</v>
      </c>
      <c r="E47" s="163"/>
      <c r="F47" s="164" t="s">
        <v>660</v>
      </c>
      <c r="G47" s="165"/>
      <c r="H47" s="163" t="s">
        <v>659</v>
      </c>
      <c r="I47" s="164"/>
      <c r="J47" s="194" t="s">
        <v>784</v>
      </c>
      <c r="K47" s="195"/>
    </row>
    <row r="48" spans="3:11" ht="10.5" customHeight="1">
      <c r="C48" s="16" t="s">
        <v>769</v>
      </c>
      <c r="D48" s="24" t="s">
        <v>756</v>
      </c>
      <c r="E48" s="163"/>
      <c r="F48" s="164" t="s">
        <v>2</v>
      </c>
      <c r="G48" s="165"/>
      <c r="H48" s="163" t="s">
        <v>755</v>
      </c>
      <c r="I48" s="164"/>
      <c r="J48" s="194" t="s">
        <v>783</v>
      </c>
      <c r="K48" s="195"/>
    </row>
    <row r="49" spans="5:11" ht="10.5" customHeight="1">
      <c r="E49" s="163"/>
      <c r="G49" s="165"/>
      <c r="I49" s="164"/>
      <c r="J49" s="194"/>
      <c r="K49" s="195"/>
    </row>
    <row r="50" spans="3:11" ht="10.5" customHeight="1">
      <c r="C50" s="16" t="s">
        <v>770</v>
      </c>
      <c r="D50" s="24"/>
      <c r="E50" s="163"/>
      <c r="F50" s="164"/>
      <c r="G50" s="165"/>
      <c r="H50" s="163"/>
      <c r="I50" s="164"/>
      <c r="J50" s="159"/>
      <c r="K50" s="160"/>
    </row>
    <row r="51" spans="1:11" ht="12.75" customHeight="1">
      <c r="A51" s="21" t="s">
        <v>89</v>
      </c>
      <c r="C51" s="16" t="s">
        <v>285</v>
      </c>
      <c r="D51" s="24"/>
      <c r="E51" s="196"/>
      <c r="F51" s="197"/>
      <c r="G51" s="198"/>
      <c r="H51" s="196"/>
      <c r="I51" s="197"/>
      <c r="J51" s="194"/>
      <c r="K51" s="195"/>
    </row>
    <row r="52" spans="1:11" ht="12" customHeight="1">
      <c r="A52" s="21" t="s">
        <v>89</v>
      </c>
      <c r="C52" s="131" t="s">
        <v>155</v>
      </c>
      <c r="D52" s="132" t="s">
        <v>300</v>
      </c>
      <c r="E52" s="133"/>
      <c r="F52" s="133"/>
      <c r="G52" s="134"/>
      <c r="I52" s="134"/>
      <c r="K52" s="135"/>
    </row>
    <row r="53" spans="1:11" ht="15.75" customHeight="1">
      <c r="A53" s="21" t="s">
        <v>89</v>
      </c>
      <c r="C53" s="16" t="s">
        <v>292</v>
      </c>
      <c r="D53" s="24" t="s">
        <v>757</v>
      </c>
      <c r="E53" s="196" t="s">
        <v>15</v>
      </c>
      <c r="F53" s="197"/>
      <c r="G53" s="198"/>
      <c r="H53" s="196" t="s">
        <v>458</v>
      </c>
      <c r="I53" s="197"/>
      <c r="J53" s="194" t="s">
        <v>780</v>
      </c>
      <c r="K53" s="195"/>
    </row>
    <row r="54" spans="3:11" ht="12" customHeight="1">
      <c r="C54" s="16" t="s">
        <v>293</v>
      </c>
      <c r="D54" s="24" t="s">
        <v>758</v>
      </c>
      <c r="E54" s="163"/>
      <c r="F54" s="164" t="s">
        <v>33</v>
      </c>
      <c r="G54" s="165"/>
      <c r="H54" s="196" t="s">
        <v>193</v>
      </c>
      <c r="I54" s="197"/>
      <c r="J54" s="194" t="s">
        <v>780</v>
      </c>
      <c r="K54" s="195"/>
    </row>
    <row r="55" spans="3:11" ht="16.5" customHeight="1">
      <c r="C55" s="16" t="s">
        <v>294</v>
      </c>
      <c r="D55" s="24" t="s">
        <v>759</v>
      </c>
      <c r="E55" s="196" t="s">
        <v>34</v>
      </c>
      <c r="F55" s="197"/>
      <c r="G55" s="198"/>
      <c r="H55" s="196" t="s">
        <v>191</v>
      </c>
      <c r="I55" s="197"/>
      <c r="J55" s="194" t="s">
        <v>780</v>
      </c>
      <c r="K55" s="195"/>
    </row>
    <row r="56" spans="3:11" ht="14.25" customHeight="1">
      <c r="C56" s="16" t="s">
        <v>295</v>
      </c>
      <c r="D56" s="24" t="s">
        <v>768</v>
      </c>
      <c r="E56" s="196" t="s">
        <v>778</v>
      </c>
      <c r="F56" s="197"/>
      <c r="G56" s="198"/>
      <c r="H56" s="196" t="s">
        <v>779</v>
      </c>
      <c r="I56" s="197"/>
      <c r="J56" s="194" t="s">
        <v>750</v>
      </c>
      <c r="K56" s="195"/>
    </row>
    <row r="57" spans="3:11" ht="9.75" customHeight="1">
      <c r="C57" s="16" t="s">
        <v>296</v>
      </c>
      <c r="D57" s="24"/>
      <c r="E57" s="196"/>
      <c r="F57" s="197"/>
      <c r="G57" s="198"/>
      <c r="H57" s="196"/>
      <c r="I57" s="197"/>
      <c r="J57" s="194"/>
      <c r="K57" s="195"/>
    </row>
    <row r="58" spans="1:11" ht="15" customHeight="1">
      <c r="A58" s="21" t="s">
        <v>89</v>
      </c>
      <c r="C58" s="16" t="s">
        <v>285</v>
      </c>
      <c r="D58" s="24"/>
      <c r="E58" s="196"/>
      <c r="F58" s="197"/>
      <c r="G58" s="198"/>
      <c r="H58" s="196"/>
      <c r="I58" s="197"/>
      <c r="J58" s="194"/>
      <c r="K58" s="195"/>
    </row>
    <row r="59" spans="3:5" ht="24" customHeight="1">
      <c r="C59" s="32" t="s">
        <v>156</v>
      </c>
      <c r="D59" s="136" t="s">
        <v>368</v>
      </c>
      <c r="E59" s="27">
        <f>+COUNTA(D53:D58)-COUNTIF(D53:D58,"нет")-COUNTIF(D53:D58,"-")</f>
        <v>4</v>
      </c>
    </row>
    <row r="60" spans="3:8" ht="21" customHeight="1">
      <c r="C60" s="32" t="s">
        <v>159</v>
      </c>
      <c r="D60" s="136" t="s">
        <v>343</v>
      </c>
      <c r="E60" s="25">
        <f>+IF(COUNTA(D5:D10,D12:D51,D53:D58)&lt;&gt;0,COUNTA(D5:D10,D12:D51,D53:D58),0)</f>
        <v>44</v>
      </c>
      <c r="H60" s="22"/>
    </row>
    <row r="61" spans="3:11" ht="22.5" customHeight="1">
      <c r="C61" s="32" t="s">
        <v>297</v>
      </c>
      <c r="D61" s="136" t="s">
        <v>369</v>
      </c>
      <c r="E61" s="27">
        <f>+(COUNTA(E12:G51)-COUNTIF(E12:G51,"нет")-COUNTIF(E12:G51,"-"))</f>
        <v>37</v>
      </c>
      <c r="F61" s="137"/>
      <c r="G61" s="138"/>
      <c r="H61" s="137"/>
      <c r="I61" s="138"/>
      <c r="J61" s="137"/>
      <c r="K61" s="138"/>
    </row>
    <row r="62" spans="1:11" ht="36.75" customHeight="1">
      <c r="A62" s="21" t="s">
        <v>425</v>
      </c>
      <c r="C62" s="32" t="s">
        <v>422</v>
      </c>
      <c r="D62" s="136" t="s">
        <v>370</v>
      </c>
      <c r="E62" s="27">
        <f>+COUNTA(E53:G58)-COUNTIF(E53:G58,"нет")-COUNTIF(E53:G58,"-")</f>
        <v>4</v>
      </c>
      <c r="F62" s="137"/>
      <c r="G62" s="138"/>
      <c r="H62" s="137"/>
      <c r="I62" s="138"/>
      <c r="J62" s="137"/>
      <c r="K62" s="138"/>
    </row>
    <row r="63" spans="3:11" ht="58.5" customHeight="1">
      <c r="C63" s="32" t="s">
        <v>423</v>
      </c>
      <c r="D63" s="136" t="s">
        <v>408</v>
      </c>
      <c r="E63" s="27">
        <f>+(COUNTA(H12:I51)-COUNTIF(H12:I51,"нет")-COUNTIF(H12:I51,"-"))</f>
        <v>37</v>
      </c>
      <c r="F63" s="137"/>
      <c r="G63" s="138"/>
      <c r="H63" s="137"/>
      <c r="I63" s="138"/>
      <c r="J63" s="137"/>
      <c r="K63" s="138"/>
    </row>
    <row r="64" spans="3:11" ht="56.25" customHeight="1">
      <c r="C64" s="32" t="s">
        <v>424</v>
      </c>
      <c r="D64" s="136" t="s">
        <v>407</v>
      </c>
      <c r="E64" s="27">
        <f>+COUNTA(H53:I58)-COUNTIF(H53:I58,"нет")-COUNTIF(H53:I58,"-")</f>
        <v>4</v>
      </c>
      <c r="F64" s="137"/>
      <c r="G64" s="138"/>
      <c r="H64" s="137"/>
      <c r="I64" s="138"/>
      <c r="J64" s="137"/>
      <c r="K64" s="138"/>
    </row>
    <row r="65" spans="3:11" ht="42" customHeight="1">
      <c r="C65" s="32" t="s">
        <v>426</v>
      </c>
      <c r="D65" s="136" t="s">
        <v>301</v>
      </c>
      <c r="E65" s="27">
        <f>COUNTA(J5:K58)-COUNTIF(J5:K58,"нет")-COUNTIF(J5:K58,"-")</f>
        <v>41</v>
      </c>
      <c r="F65" s="137"/>
      <c r="G65" s="138"/>
      <c r="H65" s="137"/>
      <c r="I65" s="138"/>
      <c r="J65" s="137"/>
      <c r="K65" s="138"/>
    </row>
    <row r="66" spans="3:11" ht="36" customHeight="1" thickBot="1">
      <c r="C66" s="32" t="s">
        <v>427</v>
      </c>
      <c r="D66" s="136" t="s">
        <v>409</v>
      </c>
      <c r="E66" s="27">
        <f>+IF(COUNTA(D12:D51,D53:D58)&lt;&gt;0,COUNTA(D12:D51,D53:D58),0)</f>
        <v>41</v>
      </c>
      <c r="F66" s="137"/>
      <c r="G66" s="138"/>
      <c r="H66" s="137"/>
      <c r="I66" s="138"/>
      <c r="J66" s="137"/>
      <c r="K66" s="138"/>
    </row>
    <row r="67" spans="3:8" ht="29.25" customHeight="1" thickBot="1">
      <c r="C67" s="83" t="s">
        <v>428</v>
      </c>
      <c r="D67" s="139" t="s">
        <v>313</v>
      </c>
      <c r="E67" s="26">
        <f>+IF(OR(E60=0,E60=""),"",(E59)/E60)</f>
        <v>0.09090909090909091</v>
      </c>
      <c r="H67" s="22"/>
    </row>
    <row r="68" spans="3:11" ht="25.5" customHeight="1" thickBot="1">
      <c r="C68" s="83" t="s">
        <v>429</v>
      </c>
      <c r="D68" s="139" t="s">
        <v>448</v>
      </c>
      <c r="E68" s="26">
        <f>+IF(OR(E60=0,E60=""),"",(E61+E62)/E60)</f>
        <v>0.9318181818181818</v>
      </c>
      <c r="F68" s="137"/>
      <c r="G68" s="138"/>
      <c r="H68" s="137"/>
      <c r="I68" s="138"/>
      <c r="J68" s="140"/>
      <c r="K68" s="141"/>
    </row>
    <row r="69" spans="3:8" ht="26.25" customHeight="1" thickBot="1">
      <c r="C69" s="83" t="s">
        <v>430</v>
      </c>
      <c r="D69" s="139" t="s">
        <v>450</v>
      </c>
      <c r="E69" s="26">
        <f>+IF(OR(E66=0,E66=""),"",(E63+E64)/E66)</f>
        <v>1</v>
      </c>
      <c r="H69" s="22"/>
    </row>
    <row r="70" spans="3:8" ht="27.75" customHeight="1" thickBot="1">
      <c r="C70" s="83" t="s">
        <v>431</v>
      </c>
      <c r="D70" s="139" t="s">
        <v>449</v>
      </c>
      <c r="E70" s="26">
        <f>+IF(OR(E60=0,E60=""),"",E65/E60)</f>
        <v>0.9318181818181818</v>
      </c>
      <c r="H70" s="22"/>
    </row>
    <row r="71" spans="3:8" ht="39" customHeight="1">
      <c r="C71" s="88"/>
      <c r="D71" s="142"/>
      <c r="E71" s="141"/>
      <c r="H71" s="22"/>
    </row>
    <row r="72" spans="3:7" ht="17.25" customHeight="1" thickBot="1">
      <c r="C72" s="106" t="s">
        <v>90</v>
      </c>
      <c r="D72" s="106"/>
      <c r="E72" s="106"/>
      <c r="F72" s="106"/>
      <c r="G72" s="106"/>
    </row>
    <row r="74" spans="3:7" ht="12.75" customHeight="1">
      <c r="C74" s="111" t="s">
        <v>147</v>
      </c>
      <c r="D74" s="186" t="s">
        <v>310</v>
      </c>
      <c r="E74" s="186"/>
      <c r="F74" s="186"/>
      <c r="G74" s="186"/>
    </row>
    <row r="75" spans="3:7" ht="15.75" customHeight="1">
      <c r="C75" s="111" t="s">
        <v>154</v>
      </c>
      <c r="D75" s="186" t="s">
        <v>312</v>
      </c>
      <c r="E75" s="186"/>
      <c r="F75" s="186"/>
      <c r="G75" s="186"/>
    </row>
    <row r="76" spans="3:7" ht="25.5" customHeight="1">
      <c r="C76" s="111"/>
      <c r="D76" s="186"/>
      <c r="E76" s="186"/>
      <c r="F76" s="186"/>
      <c r="G76" s="186"/>
    </row>
    <row r="77" spans="3:7" ht="25.5" customHeight="1">
      <c r="C77" s="111"/>
      <c r="D77" s="186"/>
      <c r="E77" s="186"/>
      <c r="F77" s="186"/>
      <c r="G77" s="186"/>
    </row>
    <row r="78" spans="3:7" ht="25.5" customHeight="1">
      <c r="C78" s="111"/>
      <c r="D78" s="186"/>
      <c r="E78" s="186"/>
      <c r="F78" s="186"/>
      <c r="G78" s="186"/>
    </row>
  </sheetData>
  <sheetProtection password="CF7A" sheet="1" objects="1" scenarios="1" insertRows="0"/>
  <mergeCells count="95">
    <mergeCell ref="J56:K56"/>
    <mergeCell ref="J57:K57"/>
    <mergeCell ref="J58:K58"/>
    <mergeCell ref="C1:K1"/>
    <mergeCell ref="H58:I58"/>
    <mergeCell ref="J5:K5"/>
    <mergeCell ref="J6:K6"/>
    <mergeCell ref="J7:K7"/>
    <mergeCell ref="J8:K8"/>
    <mergeCell ref="J9:K9"/>
    <mergeCell ref="J10:K10"/>
    <mergeCell ref="J12:K12"/>
    <mergeCell ref="J13:K13"/>
    <mergeCell ref="J14:K14"/>
    <mergeCell ref="J15:K15"/>
    <mergeCell ref="J16:K16"/>
    <mergeCell ref="J51:K51"/>
    <mergeCell ref="J53:K53"/>
    <mergeCell ref="J54:K54"/>
    <mergeCell ref="J55:K55"/>
    <mergeCell ref="H53:I53"/>
    <mergeCell ref="H54:I54"/>
    <mergeCell ref="H55:I55"/>
    <mergeCell ref="H56:I56"/>
    <mergeCell ref="H57:I57"/>
    <mergeCell ref="E58:G58"/>
    <mergeCell ref="E3:G3"/>
    <mergeCell ref="H3:I3"/>
    <mergeCell ref="H9:I9"/>
    <mergeCell ref="H10:I10"/>
    <mergeCell ref="H12:I12"/>
    <mergeCell ref="H13:I13"/>
    <mergeCell ref="H14:I14"/>
    <mergeCell ref="H15:I15"/>
    <mergeCell ref="H16:I16"/>
    <mergeCell ref="H51:I51"/>
    <mergeCell ref="E53:G53"/>
    <mergeCell ref="H8:I8"/>
    <mergeCell ref="E10:G10"/>
    <mergeCell ref="E12:G12"/>
    <mergeCell ref="E13:G13"/>
    <mergeCell ref="E14:G14"/>
    <mergeCell ref="E15:G15"/>
    <mergeCell ref="E5:G5"/>
    <mergeCell ref="E6:G6"/>
    <mergeCell ref="E7:G7"/>
    <mergeCell ref="E8:G8"/>
    <mergeCell ref="E9:G9"/>
    <mergeCell ref="J3:K3"/>
    <mergeCell ref="H5:I5"/>
    <mergeCell ref="H6:I6"/>
    <mergeCell ref="H7:I7"/>
    <mergeCell ref="E16:G16"/>
    <mergeCell ref="E51:G51"/>
    <mergeCell ref="E55:G55"/>
    <mergeCell ref="D78:G78"/>
    <mergeCell ref="D74:G74"/>
    <mergeCell ref="D75:G75"/>
    <mergeCell ref="D76:G76"/>
    <mergeCell ref="D77:G77"/>
    <mergeCell ref="E56:G56"/>
    <mergeCell ref="E57:G57"/>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7:K47"/>
    <mergeCell ref="J48:K48"/>
    <mergeCell ref="J49:K49"/>
    <mergeCell ref="J41:K41"/>
    <mergeCell ref="J42:K42"/>
    <mergeCell ref="J43:K43"/>
    <mergeCell ref="J44:K44"/>
    <mergeCell ref="J45:K45"/>
    <mergeCell ref="J46:K46"/>
  </mergeCells>
  <printOptions/>
  <pageMargins left="0.7" right="0.7" top="0.75" bottom="0.75" header="0.3" footer="0.3"/>
  <pageSetup fitToHeight="0" fitToWidth="1"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dimension ref="A1:G17"/>
  <sheetViews>
    <sheetView zoomScale="74" zoomScaleNormal="74" zoomScalePageLayoutView="50" workbookViewId="0" topLeftCell="B1">
      <selection activeCell="E29" sqref="E29"/>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1.28515625" style="1" customWidth="1"/>
    <col min="7" max="7" width="76.57421875" style="22" bestFit="1" customWidth="1"/>
    <col min="8" max="16384" width="9.28125" style="22" customWidth="1"/>
  </cols>
  <sheetData>
    <row r="1" spans="1:3" ht="9.75">
      <c r="A1" s="54" t="s">
        <v>89</v>
      </c>
      <c r="C1" s="55"/>
    </row>
    <row r="2" spans="1:5" ht="27" customHeight="1" thickBot="1">
      <c r="A2" s="54" t="s">
        <v>89</v>
      </c>
      <c r="C2" s="184" t="s">
        <v>236</v>
      </c>
      <c r="D2" s="184"/>
      <c r="E2" s="184"/>
    </row>
    <row r="3" spans="1:7" s="67" customFormat="1" ht="9.75">
      <c r="A3" s="62" t="s">
        <v>89</v>
      </c>
      <c r="C3" s="64"/>
      <c r="D3" s="96" t="s">
        <v>250</v>
      </c>
      <c r="E3" s="129"/>
      <c r="F3" s="2"/>
      <c r="G3" s="22"/>
    </row>
    <row r="4" spans="1:5" ht="30.75" customHeight="1">
      <c r="A4" s="21" t="s">
        <v>92</v>
      </c>
      <c r="C4" s="99" t="s">
        <v>142</v>
      </c>
      <c r="D4" s="150" t="s">
        <v>410</v>
      </c>
      <c r="E4" s="101" t="s">
        <v>387</v>
      </c>
    </row>
    <row r="5" spans="1:7" ht="30" customHeight="1">
      <c r="A5" s="21" t="s">
        <v>89</v>
      </c>
      <c r="C5" s="32" t="s">
        <v>164</v>
      </c>
      <c r="D5" s="136" t="s">
        <v>395</v>
      </c>
      <c r="E5" s="6" t="s">
        <v>760</v>
      </c>
      <c r="F5" s="5">
        <f>COUNTBLANK(E5:E8)</f>
        <v>0</v>
      </c>
      <c r="G5" s="81"/>
    </row>
    <row r="6" spans="3:7" ht="51">
      <c r="C6" s="32" t="s">
        <v>160</v>
      </c>
      <c r="D6" s="136" t="s">
        <v>412</v>
      </c>
      <c r="E6" s="6" t="s">
        <v>788</v>
      </c>
      <c r="G6" s="81"/>
    </row>
    <row r="7" spans="3:7" ht="40.5">
      <c r="C7" s="32">
        <v>3</v>
      </c>
      <c r="D7" s="136" t="s">
        <v>413</v>
      </c>
      <c r="E7" s="6" t="s">
        <v>761</v>
      </c>
      <c r="G7" s="81"/>
    </row>
    <row r="8" spans="3:7" ht="41.25" thickBot="1">
      <c r="C8" s="32">
        <v>4</v>
      </c>
      <c r="D8" s="136" t="s">
        <v>414</v>
      </c>
      <c r="E8" s="6" t="s">
        <v>761</v>
      </c>
      <c r="G8" s="81"/>
    </row>
    <row r="9" spans="3:5" ht="10.5" thickBot="1">
      <c r="C9" s="88"/>
      <c r="D9" s="137"/>
      <c r="E9" s="7" t="str">
        <f>+IF(F5="","",(IF(F5=0,"да","нет")))</f>
        <v>да</v>
      </c>
    </row>
    <row r="10" spans="3:5" ht="10.5" thickBot="1">
      <c r="C10" s="106" t="s">
        <v>90</v>
      </c>
      <c r="D10" s="106"/>
      <c r="E10" s="106"/>
    </row>
    <row r="12" spans="3:5" ht="9.75">
      <c r="C12" s="185"/>
      <c r="D12" s="185"/>
      <c r="E12" s="185"/>
    </row>
    <row r="14" spans="1:6" s="107" customFormat="1" ht="15" customHeight="1">
      <c r="A14" s="143"/>
      <c r="C14" s="107" t="s">
        <v>147</v>
      </c>
      <c r="D14" s="186" t="s">
        <v>163</v>
      </c>
      <c r="E14" s="186"/>
      <c r="F14" s="4"/>
    </row>
    <row r="15" spans="3:5" ht="26.25" customHeight="1">
      <c r="C15" s="107" t="s">
        <v>154</v>
      </c>
      <c r="D15" s="186" t="s">
        <v>167</v>
      </c>
      <c r="E15" s="186"/>
    </row>
    <row r="16" spans="3:5" ht="18" customHeight="1">
      <c r="C16" s="107" t="s">
        <v>155</v>
      </c>
      <c r="D16" s="186" t="s">
        <v>585</v>
      </c>
      <c r="E16" s="186"/>
    </row>
    <row r="17" ht="9.75">
      <c r="C17" s="107"/>
    </row>
  </sheetData>
  <sheetProtection password="CF7A" sheet="1" objects="1" scenarios="1"/>
  <mergeCells count="5">
    <mergeCell ref="D16:E16"/>
    <mergeCell ref="C2:E2"/>
    <mergeCell ref="C12:E12"/>
    <mergeCell ref="D14:E14"/>
    <mergeCell ref="D15:E1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46"/>
  <sheetViews>
    <sheetView zoomScalePageLayoutView="0" workbookViewId="0" topLeftCell="B24">
      <selection activeCell="C24" sqref="C24"/>
    </sheetView>
  </sheetViews>
  <sheetFormatPr defaultColWidth="9.28125" defaultRowHeight="15"/>
  <cols>
    <col min="1" max="1" width="4.421875" style="21" hidden="1" customWidth="1"/>
    <col min="2" max="2" width="1.421875" style="22" customWidth="1"/>
    <col min="3" max="3" width="6.421875" style="22" customWidth="1"/>
    <col min="4" max="4" width="32.57421875" style="22" customWidth="1"/>
    <col min="5" max="5" width="27.7109375" style="22" customWidth="1"/>
    <col min="6" max="6" width="20.7109375" style="17" customWidth="1"/>
    <col min="7" max="7" width="19.57421875" style="22" customWidth="1"/>
    <col min="8" max="8" width="24.421875" style="22" customWidth="1"/>
    <col min="9" max="16384" width="9.28125" style="22" customWidth="1"/>
  </cols>
  <sheetData>
    <row r="1" spans="1:3" ht="9.75">
      <c r="A1" s="54" t="s">
        <v>89</v>
      </c>
      <c r="C1" s="55"/>
    </row>
    <row r="2" spans="1:7" ht="26.25" customHeight="1">
      <c r="A2" s="54" t="s">
        <v>89</v>
      </c>
      <c r="C2" s="203" t="s">
        <v>236</v>
      </c>
      <c r="D2" s="203"/>
      <c r="E2" s="203"/>
      <c r="F2" s="203"/>
      <c r="G2" s="203"/>
    </row>
    <row r="3" spans="1:7" s="67" customFormat="1" ht="9.75">
      <c r="A3" s="62" t="s">
        <v>89</v>
      </c>
      <c r="C3" s="64"/>
      <c r="D3" s="96" t="s">
        <v>415</v>
      </c>
      <c r="E3" s="129"/>
      <c r="F3" s="63"/>
      <c r="G3" s="22"/>
    </row>
    <row r="4" spans="1:7" ht="45" customHeight="1">
      <c r="A4" s="21" t="s">
        <v>92</v>
      </c>
      <c r="C4" s="99" t="s">
        <v>142</v>
      </c>
      <c r="D4" s="100" t="s">
        <v>336</v>
      </c>
      <c r="E4" s="101" t="s">
        <v>354</v>
      </c>
      <c r="F4" s="206" t="s">
        <v>357</v>
      </c>
      <c r="G4" s="207"/>
    </row>
    <row r="5" spans="1:8" ht="71.25">
      <c r="A5" s="21" t="s">
        <v>89</v>
      </c>
      <c r="C5" s="16" t="s">
        <v>279</v>
      </c>
      <c r="D5" s="20" t="s">
        <v>762</v>
      </c>
      <c r="E5" s="6" t="s">
        <v>35</v>
      </c>
      <c r="F5" s="204" t="s">
        <v>36</v>
      </c>
      <c r="G5" s="205"/>
      <c r="H5" s="81"/>
    </row>
    <row r="6" spans="3:8" ht="69.75" customHeight="1">
      <c r="C6" s="16" t="s">
        <v>280</v>
      </c>
      <c r="D6" s="20" t="s">
        <v>789</v>
      </c>
      <c r="E6" s="6" t="s">
        <v>35</v>
      </c>
      <c r="F6" s="204" t="s">
        <v>791</v>
      </c>
      <c r="G6" s="205"/>
      <c r="H6" s="81"/>
    </row>
    <row r="7" spans="3:8" ht="69.75" customHeight="1">
      <c r="C7" s="16" t="s">
        <v>281</v>
      </c>
      <c r="D7" s="20" t="s">
        <v>772</v>
      </c>
      <c r="E7" s="6" t="s">
        <v>35</v>
      </c>
      <c r="F7" s="204" t="s">
        <v>791</v>
      </c>
      <c r="G7" s="205"/>
      <c r="H7" s="81"/>
    </row>
    <row r="8" spans="3:8" ht="71.25">
      <c r="C8" s="16" t="s">
        <v>282</v>
      </c>
      <c r="D8" s="20" t="s">
        <v>37</v>
      </c>
      <c r="E8" s="6" t="s">
        <v>35</v>
      </c>
      <c r="F8" s="204" t="s">
        <v>38</v>
      </c>
      <c r="G8" s="205"/>
      <c r="H8" s="81"/>
    </row>
    <row r="9" spans="3:7" ht="69.75" customHeight="1">
      <c r="C9" s="16" t="s">
        <v>284</v>
      </c>
      <c r="D9" s="20" t="s">
        <v>39</v>
      </c>
      <c r="E9" s="6" t="s">
        <v>35</v>
      </c>
      <c r="F9" s="204" t="s">
        <v>791</v>
      </c>
      <c r="G9" s="205"/>
    </row>
    <row r="10" spans="3:7" ht="69.75" customHeight="1">
      <c r="C10" s="16" t="s">
        <v>320</v>
      </c>
      <c r="D10" s="20" t="s">
        <v>40</v>
      </c>
      <c r="E10" s="6" t="s">
        <v>35</v>
      </c>
      <c r="F10" s="204" t="s">
        <v>791</v>
      </c>
      <c r="G10" s="205"/>
    </row>
    <row r="11" spans="3:7" ht="69.75" customHeight="1">
      <c r="C11" s="16" t="s">
        <v>321</v>
      </c>
      <c r="D11" s="20" t="s">
        <v>41</v>
      </c>
      <c r="E11" s="6" t="s">
        <v>35</v>
      </c>
      <c r="F11" s="204" t="s">
        <v>791</v>
      </c>
      <c r="G11" s="205"/>
    </row>
    <row r="12" spans="3:7" ht="71.25">
      <c r="C12" s="16" t="s">
        <v>322</v>
      </c>
      <c r="D12" s="20" t="s">
        <v>42</v>
      </c>
      <c r="E12" s="6" t="s">
        <v>35</v>
      </c>
      <c r="F12" s="204" t="s">
        <v>791</v>
      </c>
      <c r="G12" s="205"/>
    </row>
    <row r="13" spans="3:7" ht="69.75" customHeight="1">
      <c r="C13" s="16" t="s">
        <v>323</v>
      </c>
      <c r="D13" s="20" t="s">
        <v>43</v>
      </c>
      <c r="E13" s="6" t="s">
        <v>35</v>
      </c>
      <c r="F13" s="204" t="s">
        <v>791</v>
      </c>
      <c r="G13" s="205"/>
    </row>
    <row r="14" spans="3:7" ht="69.75" customHeight="1">
      <c r="C14" s="16" t="s">
        <v>588</v>
      </c>
      <c r="D14" s="20" t="s">
        <v>44</v>
      </c>
      <c r="E14" s="6" t="s">
        <v>35</v>
      </c>
      <c r="F14" s="204" t="s">
        <v>791</v>
      </c>
      <c r="G14" s="205"/>
    </row>
    <row r="15" spans="3:7" ht="69.75" customHeight="1">
      <c r="C15" s="16" t="s">
        <v>589</v>
      </c>
      <c r="D15" s="20" t="s">
        <v>45</v>
      </c>
      <c r="E15" s="6" t="s">
        <v>35</v>
      </c>
      <c r="F15" s="204" t="s">
        <v>791</v>
      </c>
      <c r="G15" s="205"/>
    </row>
    <row r="16" spans="3:7" ht="69.75" customHeight="1">
      <c r="C16" s="16" t="s">
        <v>590</v>
      </c>
      <c r="D16" s="20" t="s">
        <v>46</v>
      </c>
      <c r="E16" s="6" t="s">
        <v>35</v>
      </c>
      <c r="F16" s="204" t="s">
        <v>791</v>
      </c>
      <c r="G16" s="205"/>
    </row>
    <row r="17" spans="3:7" ht="69.75" customHeight="1">
      <c r="C17" s="16" t="s">
        <v>591</v>
      </c>
      <c r="D17" s="20" t="s">
        <v>47</v>
      </c>
      <c r="E17" s="6" t="s">
        <v>35</v>
      </c>
      <c r="F17" s="204" t="s">
        <v>791</v>
      </c>
      <c r="G17" s="205"/>
    </row>
    <row r="18" spans="3:7" ht="69.75" customHeight="1">
      <c r="C18" s="16" t="s">
        <v>592</v>
      </c>
      <c r="D18" s="20" t="s">
        <v>48</v>
      </c>
      <c r="E18" s="6" t="s">
        <v>35</v>
      </c>
      <c r="F18" s="204" t="s">
        <v>791</v>
      </c>
      <c r="G18" s="205"/>
    </row>
    <row r="19" spans="3:7" ht="69.75" customHeight="1">
      <c r="C19" s="16" t="s">
        <v>593</v>
      </c>
      <c r="D19" s="20" t="s">
        <v>49</v>
      </c>
      <c r="E19" s="6" t="s">
        <v>35</v>
      </c>
      <c r="F19" s="204" t="s">
        <v>791</v>
      </c>
      <c r="G19" s="205"/>
    </row>
    <row r="20" spans="3:7" ht="69.75" customHeight="1">
      <c r="C20" s="16" t="s">
        <v>594</v>
      </c>
      <c r="D20" s="20" t="s">
        <v>50</v>
      </c>
      <c r="E20" s="6" t="s">
        <v>35</v>
      </c>
      <c r="F20" s="204" t="s">
        <v>791</v>
      </c>
      <c r="G20" s="205"/>
    </row>
    <row r="21" spans="3:7" ht="69.75" customHeight="1">
      <c r="C21" s="16" t="s">
        <v>595</v>
      </c>
      <c r="D21" s="20" t="s">
        <v>51</v>
      </c>
      <c r="E21" s="6" t="s">
        <v>35</v>
      </c>
      <c r="F21" s="204" t="s">
        <v>791</v>
      </c>
      <c r="G21" s="205"/>
    </row>
    <row r="22" spans="3:7" ht="69.75" customHeight="1">
      <c r="C22" s="16" t="s">
        <v>596</v>
      </c>
      <c r="D22" s="20" t="s">
        <v>52</v>
      </c>
      <c r="E22" s="6" t="s">
        <v>35</v>
      </c>
      <c r="F22" s="204" t="s">
        <v>791</v>
      </c>
      <c r="G22" s="205"/>
    </row>
    <row r="23" spans="3:7" ht="69.75" customHeight="1">
      <c r="C23" s="16" t="s">
        <v>597</v>
      </c>
      <c r="D23" s="20" t="s">
        <v>790</v>
      </c>
      <c r="E23" s="6" t="s">
        <v>35</v>
      </c>
      <c r="F23" s="204" t="s">
        <v>791</v>
      </c>
      <c r="G23" s="205"/>
    </row>
    <row r="24" spans="3:7" ht="69.75" customHeight="1">
      <c r="C24" s="16" t="s">
        <v>598</v>
      </c>
      <c r="D24" s="20" t="s">
        <v>53</v>
      </c>
      <c r="E24" s="6" t="s">
        <v>35</v>
      </c>
      <c r="F24" s="204" t="s">
        <v>791</v>
      </c>
      <c r="G24" s="205"/>
    </row>
    <row r="25" spans="3:7" ht="9.75">
      <c r="C25" s="16" t="s">
        <v>599</v>
      </c>
      <c r="D25" s="20"/>
      <c r="E25" s="6"/>
      <c r="F25" s="161"/>
      <c r="G25" s="162"/>
    </row>
    <row r="26" spans="3:7" ht="9.75">
      <c r="C26" s="16" t="s">
        <v>600</v>
      </c>
      <c r="D26" s="20"/>
      <c r="E26" s="6"/>
      <c r="F26" s="161"/>
      <c r="G26" s="162"/>
    </row>
    <row r="27" spans="3:7" ht="9.75">
      <c r="C27" s="16" t="s">
        <v>601</v>
      </c>
      <c r="D27" s="20"/>
      <c r="E27" s="6"/>
      <c r="F27" s="161"/>
      <c r="G27" s="162"/>
    </row>
    <row r="28" spans="3:7" ht="9.75">
      <c r="C28" s="16" t="s">
        <v>602</v>
      </c>
      <c r="D28" s="20"/>
      <c r="E28" s="6"/>
      <c r="F28" s="161"/>
      <c r="G28" s="162"/>
    </row>
    <row r="29" spans="1:8" ht="15" customHeight="1">
      <c r="A29" s="21" t="s">
        <v>89</v>
      </c>
      <c r="C29" s="16" t="s">
        <v>285</v>
      </c>
      <c r="D29" s="20"/>
      <c r="E29" s="6"/>
      <c r="F29" s="204"/>
      <c r="G29" s="205"/>
      <c r="H29" s="18" t="s">
        <v>286</v>
      </c>
    </row>
    <row r="30" spans="3:5" ht="30">
      <c r="C30" s="32" t="s">
        <v>154</v>
      </c>
      <c r="D30" s="136" t="s">
        <v>356</v>
      </c>
      <c r="E30" s="19">
        <f>COUNTA(E5:E29)-COUNTIF(E5:E29,"нет")-COUNTIF(E5:E29,"-")</f>
        <v>20</v>
      </c>
    </row>
    <row r="31" spans="3:6" ht="9.75">
      <c r="C31" s="32" t="s">
        <v>155</v>
      </c>
      <c r="D31" s="136" t="s">
        <v>355</v>
      </c>
      <c r="E31" s="19">
        <f>+COUNTA(D5:D29)</f>
        <v>20</v>
      </c>
      <c r="F31" s="22"/>
    </row>
    <row r="32" spans="3:7" ht="40.5">
      <c r="C32" s="32" t="s">
        <v>156</v>
      </c>
      <c r="D32" s="136" t="s">
        <v>358</v>
      </c>
      <c r="E32" s="19">
        <f>COUNTA(F5:G29)-COUNTIF(F5:G29,"нет")-COUNTIF(F5:G29,"-")</f>
        <v>20</v>
      </c>
      <c r="F32" s="137"/>
      <c r="G32" s="138"/>
    </row>
    <row r="33" spans="3:7" ht="10.5" thickBot="1">
      <c r="C33" s="32">
        <v>5</v>
      </c>
      <c r="D33" s="136" t="s">
        <v>355</v>
      </c>
      <c r="E33" s="19">
        <f>+COUNTA(D5:D29)</f>
        <v>20</v>
      </c>
      <c r="F33" s="137"/>
      <c r="G33" s="138"/>
    </row>
    <row r="34" spans="3:6" ht="21" thickBot="1">
      <c r="C34" s="32" t="s">
        <v>297</v>
      </c>
      <c r="D34" s="84" t="s">
        <v>436</v>
      </c>
      <c r="E34" s="7">
        <f>+IF(OR(E31=0,E31=""),"",E30/E31)</f>
        <v>1</v>
      </c>
      <c r="F34" s="22"/>
    </row>
    <row r="35" spans="3:5" ht="21" thickBot="1">
      <c r="C35" s="32" t="s">
        <v>422</v>
      </c>
      <c r="D35" s="84" t="s">
        <v>363</v>
      </c>
      <c r="E35" s="7">
        <f>+IF(OR(E33=0,E33=""),"",E32/E33)</f>
        <v>1</v>
      </c>
    </row>
    <row r="37" spans="3:5" ht="10.5" thickBot="1">
      <c r="C37" s="106" t="s">
        <v>90</v>
      </c>
      <c r="D37" s="106"/>
      <c r="E37" s="106"/>
    </row>
    <row r="39" spans="3:5" ht="9.75">
      <c r="C39" s="185">
        <f>IF(E34="","Индикатор не может быть посчитан: деление на ноль либо отсутствуют данные для его расчета","")</f>
      </c>
      <c r="D39" s="185"/>
      <c r="E39" s="185"/>
    </row>
    <row r="41" spans="1:6" s="107" customFormat="1" ht="9.75">
      <c r="A41" s="143"/>
      <c r="D41" s="186"/>
      <c r="E41" s="186"/>
      <c r="F41" s="128"/>
    </row>
    <row r="42" spans="1:6" s="107" customFormat="1" ht="9.75">
      <c r="A42" s="143"/>
      <c r="D42" s="186"/>
      <c r="E42" s="186"/>
      <c r="F42" s="128"/>
    </row>
    <row r="43" spans="3:5" ht="9.75">
      <c r="C43" s="107"/>
      <c r="D43" s="186"/>
      <c r="E43" s="186"/>
    </row>
    <row r="44" spans="3:5" ht="9.75">
      <c r="C44" s="107"/>
      <c r="D44" s="186"/>
      <c r="E44" s="186"/>
    </row>
    <row r="45" spans="3:5" ht="9.75">
      <c r="C45" s="107"/>
      <c r="D45" s="186"/>
      <c r="E45" s="186"/>
    </row>
    <row r="46" spans="3:5" ht="9.75">
      <c r="C46" s="107"/>
      <c r="D46" s="186"/>
      <c r="E46" s="186"/>
    </row>
  </sheetData>
  <sheetProtection password="CF7A" sheet="1" objects="1" scenarios="1" insertRows="0"/>
  <mergeCells count="30">
    <mergeCell ref="F7:G7"/>
    <mergeCell ref="F8:G8"/>
    <mergeCell ref="C2:G2"/>
    <mergeCell ref="F4:G4"/>
    <mergeCell ref="F5:G5"/>
    <mergeCell ref="F6:G6"/>
    <mergeCell ref="D44:E44"/>
    <mergeCell ref="D45:E45"/>
    <mergeCell ref="D46:E46"/>
    <mergeCell ref="F9:G9"/>
    <mergeCell ref="F29:G29"/>
    <mergeCell ref="C39:E39"/>
    <mergeCell ref="D41:E41"/>
    <mergeCell ref="D42:E42"/>
    <mergeCell ref="D43:E43"/>
    <mergeCell ref="F10:G10"/>
    <mergeCell ref="F11:G11"/>
    <mergeCell ref="F12:G12"/>
    <mergeCell ref="F13:G13"/>
    <mergeCell ref="F14:G14"/>
    <mergeCell ref="F15:G15"/>
    <mergeCell ref="F16:G16"/>
    <mergeCell ref="F23:G23"/>
    <mergeCell ref="F24:G24"/>
    <mergeCell ref="F17:G17"/>
    <mergeCell ref="F18:G18"/>
    <mergeCell ref="F19:G19"/>
    <mergeCell ref="F20:G20"/>
    <mergeCell ref="F21:G21"/>
    <mergeCell ref="F22:G2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7"/>
  <sheetViews>
    <sheetView zoomScale="71" zoomScaleNormal="71" zoomScalePageLayoutView="0" workbookViewId="0" topLeftCell="B1">
      <selection activeCell="D27" sqref="D27"/>
    </sheetView>
  </sheetViews>
  <sheetFormatPr defaultColWidth="9.28125" defaultRowHeight="15"/>
  <cols>
    <col min="1" max="1" width="4.421875" style="105" hidden="1" customWidth="1"/>
    <col min="2" max="2" width="1.421875" style="92" customWidth="1"/>
    <col min="3" max="3" width="6.421875" style="92" customWidth="1"/>
    <col min="4" max="4" width="85.57421875" style="92" customWidth="1"/>
    <col min="5" max="6" width="28.57421875" style="92" customWidth="1"/>
    <col min="7" max="7" width="1.421875" style="17" customWidth="1"/>
    <col min="8" max="10" width="31.421875" style="92" customWidth="1"/>
    <col min="11" max="16384" width="9.28125" style="92" customWidth="1"/>
  </cols>
  <sheetData>
    <row r="1" spans="1:6" ht="13.5">
      <c r="A1" s="54" t="s">
        <v>89</v>
      </c>
      <c r="B1" s="80"/>
      <c r="C1" s="55"/>
      <c r="D1" s="22"/>
      <c r="E1" s="22"/>
      <c r="F1" s="22"/>
    </row>
    <row r="2" spans="1:6" ht="26.25" customHeight="1" thickBot="1">
      <c r="A2" s="54" t="s">
        <v>89</v>
      </c>
      <c r="B2" s="80"/>
      <c r="C2" s="184" t="s">
        <v>236</v>
      </c>
      <c r="D2" s="184"/>
      <c r="E2" s="184"/>
      <c r="F2" s="184"/>
    </row>
    <row r="3" spans="1:7" s="97" customFormat="1" ht="27">
      <c r="A3" s="93" t="s">
        <v>89</v>
      </c>
      <c r="B3" s="94"/>
      <c r="C3" s="95"/>
      <c r="D3" s="96" t="s">
        <v>141</v>
      </c>
      <c r="E3" s="67"/>
      <c r="F3" s="67"/>
      <c r="G3" s="63"/>
    </row>
    <row r="4" spans="1:6" ht="15">
      <c r="A4" s="98" t="s">
        <v>89</v>
      </c>
      <c r="B4" s="22"/>
      <c r="C4" s="99" t="s">
        <v>142</v>
      </c>
      <c r="D4" s="100" t="s">
        <v>143</v>
      </c>
      <c r="E4" s="101" t="s">
        <v>144</v>
      </c>
      <c r="F4" s="101" t="s">
        <v>145</v>
      </c>
    </row>
    <row r="5" spans="1:7" s="104" customFormat="1" ht="21.75">
      <c r="A5" s="102" t="s">
        <v>89</v>
      </c>
      <c r="B5" s="22"/>
      <c r="C5" s="32">
        <v>1</v>
      </c>
      <c r="D5" s="167" t="s">
        <v>793</v>
      </c>
      <c r="E5" s="103" t="s">
        <v>146</v>
      </c>
      <c r="F5" s="8">
        <v>12056.6</v>
      </c>
      <c r="G5" s="17"/>
    </row>
    <row r="6" spans="1:6" ht="21.75">
      <c r="A6" s="102" t="s">
        <v>89</v>
      </c>
      <c r="B6" s="22"/>
      <c r="C6" s="32">
        <v>2</v>
      </c>
      <c r="D6" s="33" t="s">
        <v>223</v>
      </c>
      <c r="E6" s="103" t="s">
        <v>146</v>
      </c>
      <c r="F6" s="8">
        <v>4602.31</v>
      </c>
    </row>
    <row r="7" spans="1:6" ht="21.75">
      <c r="A7" s="102" t="s">
        <v>89</v>
      </c>
      <c r="B7" s="22"/>
      <c r="C7" s="32">
        <v>3</v>
      </c>
      <c r="D7" s="33" t="s">
        <v>224</v>
      </c>
      <c r="E7" s="103" t="s">
        <v>146</v>
      </c>
      <c r="F7" s="8">
        <v>0</v>
      </c>
    </row>
    <row r="8" spans="1:6" ht="21.75">
      <c r="A8" s="102"/>
      <c r="B8" s="22"/>
      <c r="C8" s="32">
        <v>4</v>
      </c>
      <c r="D8" s="33" t="s">
        <v>225</v>
      </c>
      <c r="E8" s="103" t="s">
        <v>146</v>
      </c>
      <c r="F8" s="8">
        <v>1089979</v>
      </c>
    </row>
    <row r="9" spans="1:6" ht="22.5" thickBot="1">
      <c r="A9" s="102" t="s">
        <v>89</v>
      </c>
      <c r="B9" s="22"/>
      <c r="C9" s="32">
        <v>5</v>
      </c>
      <c r="D9" s="33" t="s">
        <v>226</v>
      </c>
      <c r="E9" s="103" t="s">
        <v>146</v>
      </c>
      <c r="F9" s="8">
        <v>654550</v>
      </c>
    </row>
    <row r="10" spans="1:6" ht="22.5" thickBot="1">
      <c r="A10" s="102" t="s">
        <v>89</v>
      </c>
      <c r="B10" s="22"/>
      <c r="C10" s="83">
        <v>6</v>
      </c>
      <c r="D10" s="84" t="s">
        <v>171</v>
      </c>
      <c r="E10" s="85"/>
      <c r="F10" s="7">
        <f>IF(AND(COUNT(F5:F9)=5,(F8-F9)&lt;&gt;0),(F5-F6-F7)/(F8-F9),"")</f>
        <v>0.017119415564879694</v>
      </c>
    </row>
    <row r="11" spans="2:6" ht="13.5">
      <c r="B11" s="22"/>
      <c r="C11" s="22"/>
      <c r="D11" s="22"/>
      <c r="E11" s="22"/>
      <c r="F11" s="22"/>
    </row>
    <row r="12" spans="2:6" ht="14.25" thickBot="1">
      <c r="B12" s="22"/>
      <c r="C12" s="106" t="s">
        <v>90</v>
      </c>
      <c r="D12" s="106"/>
      <c r="E12" s="106"/>
      <c r="F12" s="106"/>
    </row>
    <row r="13" spans="2:6" ht="13.5">
      <c r="B13" s="22"/>
      <c r="C13" s="22"/>
      <c r="D13" s="22"/>
      <c r="E13" s="22"/>
      <c r="F13" s="22"/>
    </row>
    <row r="14" spans="2:6" ht="13.5">
      <c r="B14" s="22"/>
      <c r="C14" s="185">
        <f>IF(F10="","Индикатор не может быть посчитан: деление на ноль либо отсутствуют данные для его расчета","")</f>
      </c>
      <c r="D14" s="185"/>
      <c r="E14" s="185"/>
      <c r="F14" s="22"/>
    </row>
    <row r="15" spans="2:6" ht="13.5">
      <c r="B15" s="22"/>
      <c r="C15" s="22"/>
      <c r="D15" s="22"/>
      <c r="E15" s="22"/>
      <c r="F15" s="22"/>
    </row>
    <row r="16" spans="2:6" ht="13.5">
      <c r="B16" s="22"/>
      <c r="C16" s="107" t="s">
        <v>147</v>
      </c>
      <c r="D16" s="186" t="s">
        <v>148</v>
      </c>
      <c r="E16" s="186"/>
      <c r="F16" s="186"/>
    </row>
    <row r="17" spans="3:4" ht="51">
      <c r="C17" s="107" t="s">
        <v>154</v>
      </c>
      <c r="D17" s="72" t="s">
        <v>251</v>
      </c>
    </row>
  </sheetData>
  <sheetProtection password="CF7A" sheet="1" objects="1" scenarios="1"/>
  <mergeCells count="3">
    <mergeCell ref="C2:F2"/>
    <mergeCell ref="C14:E14"/>
    <mergeCell ref="D16:F16"/>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0.xml><?xml version="1.0" encoding="utf-8"?>
<worksheet xmlns="http://schemas.openxmlformats.org/spreadsheetml/2006/main" xmlns:r="http://schemas.openxmlformats.org/officeDocument/2006/relationships">
  <dimension ref="A1:G20"/>
  <sheetViews>
    <sheetView zoomScale="74" zoomScaleNormal="74" zoomScalePageLayoutView="0" workbookViewId="0" topLeftCell="C1">
      <selection activeCell="F14" sqref="F14"/>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89</v>
      </c>
      <c r="B1" s="80"/>
      <c r="C1" s="55"/>
    </row>
    <row r="2" spans="1:6" ht="26.25" customHeight="1" thickBot="1">
      <c r="A2" s="54" t="s">
        <v>89</v>
      </c>
      <c r="B2" s="80"/>
      <c r="C2" s="184" t="s">
        <v>236</v>
      </c>
      <c r="D2" s="184"/>
      <c r="E2" s="184"/>
      <c r="F2" s="184"/>
    </row>
    <row r="3" spans="1:7" s="67" customFormat="1" ht="9.75">
      <c r="A3" s="62" t="s">
        <v>89</v>
      </c>
      <c r="B3" s="94"/>
      <c r="C3" s="95"/>
      <c r="D3" s="96" t="s">
        <v>254</v>
      </c>
      <c r="G3" s="63"/>
    </row>
    <row r="4" spans="1:6" ht="9.75">
      <c r="A4" s="21" t="s">
        <v>89</v>
      </c>
      <c r="C4" s="99" t="s">
        <v>142</v>
      </c>
      <c r="D4" s="100" t="s">
        <v>143</v>
      </c>
      <c r="E4" s="101" t="s">
        <v>144</v>
      </c>
      <c r="F4" s="101" t="s">
        <v>145</v>
      </c>
    </row>
    <row r="5" spans="1:7" s="72" customFormat="1" ht="9.75">
      <c r="A5" s="21" t="s">
        <v>89</v>
      </c>
      <c r="B5" s="22"/>
      <c r="C5" s="32">
        <v>1</v>
      </c>
      <c r="D5" s="33" t="s">
        <v>344</v>
      </c>
      <c r="E5" s="103" t="s">
        <v>146</v>
      </c>
      <c r="F5" s="8">
        <v>2892</v>
      </c>
      <c r="G5" s="17"/>
    </row>
    <row r="6" spans="1:6" ht="9.75">
      <c r="A6" s="21" t="s">
        <v>89</v>
      </c>
      <c r="C6" s="32">
        <v>2</v>
      </c>
      <c r="D6" s="33" t="s">
        <v>345</v>
      </c>
      <c r="E6" s="103" t="s">
        <v>146</v>
      </c>
      <c r="F6" s="8">
        <v>28113</v>
      </c>
    </row>
    <row r="7" spans="1:6" ht="24.75" customHeight="1">
      <c r="A7" s="21" t="s">
        <v>89</v>
      </c>
      <c r="C7" s="32">
        <v>3</v>
      </c>
      <c r="D7" s="33" t="s">
        <v>346</v>
      </c>
      <c r="E7" s="103" t="s">
        <v>146</v>
      </c>
      <c r="F7" s="8">
        <v>2102.4</v>
      </c>
    </row>
    <row r="8" spans="1:6" ht="24.75" customHeight="1" thickBot="1">
      <c r="A8" s="21"/>
      <c r="C8" s="32">
        <v>4</v>
      </c>
      <c r="D8" s="33" t="s">
        <v>347</v>
      </c>
      <c r="E8" s="103" t="s">
        <v>146</v>
      </c>
      <c r="F8" s="8">
        <v>25049.1</v>
      </c>
    </row>
    <row r="9" spans="1:6" ht="21" thickBot="1">
      <c r="A9" s="21" t="s">
        <v>89</v>
      </c>
      <c r="C9" s="83">
        <v>5</v>
      </c>
      <c r="D9" s="84" t="s">
        <v>364</v>
      </c>
      <c r="E9" s="85"/>
      <c r="F9" s="7">
        <f>IF(AND(COUNT(F5:F8)=4,(F7+F8)&lt;&gt;0),(((F5+F6)/(F7+F8))-1),"")</f>
        <v>0.1419258604496989</v>
      </c>
    </row>
    <row r="11" spans="3:6" ht="10.5" thickBot="1">
      <c r="C11" s="106" t="s">
        <v>90</v>
      </c>
      <c r="D11" s="106"/>
      <c r="E11" s="106"/>
      <c r="F11" s="106"/>
    </row>
    <row r="13" spans="3:6" ht="9.75">
      <c r="C13" s="185">
        <f>IF(F9="","Индикатор не может быть посчитан: деление на ноль либо отсутствуют данные для его расчета","")</f>
      </c>
      <c r="D13" s="185"/>
      <c r="E13" s="185"/>
      <c r="F13" s="185"/>
    </row>
    <row r="14" ht="9.75">
      <c r="F14" s="168"/>
    </row>
    <row r="15" spans="3:6" ht="9.75">
      <c r="C15" s="107" t="s">
        <v>147</v>
      </c>
      <c r="D15" s="186"/>
      <c r="E15" s="186"/>
      <c r="F15" s="186"/>
    </row>
    <row r="16" ht="9.75">
      <c r="F16" s="169"/>
    </row>
    <row r="17" ht="9.75">
      <c r="F17" s="13"/>
    </row>
    <row r="18" ht="9.75">
      <c r="F18" s="13"/>
    </row>
    <row r="19" ht="9.75">
      <c r="F19" s="13"/>
    </row>
    <row r="20" ht="9.75">
      <c r="F20" s="13"/>
    </row>
  </sheetData>
  <sheetProtection password="CF7A" sheet="1" objects="1" scenarios="1"/>
  <mergeCells count="3">
    <mergeCell ref="C2:F2"/>
    <mergeCell ref="C13:F13"/>
    <mergeCell ref="D15:F15"/>
  </mergeCells>
  <printOptions/>
  <pageMargins left="0" right="0" top="0.7480314960629921" bottom="0.7480314960629921" header="0.31496062992125984" footer="0.31496062992125984"/>
  <pageSetup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dimension ref="A1:G11"/>
  <sheetViews>
    <sheetView zoomScale="72" zoomScaleNormal="72" zoomScalePageLayoutView="0" workbookViewId="0" topLeftCell="B1">
      <selection activeCell="F5" sqref="F5"/>
    </sheetView>
  </sheetViews>
  <sheetFormatPr defaultColWidth="9.28125" defaultRowHeight="15"/>
  <cols>
    <col min="1" max="1" width="4.421875" style="105" hidden="1" customWidth="1"/>
    <col min="2" max="2" width="1.421875" style="108" customWidth="1"/>
    <col min="3" max="3" width="6.421875" style="108" customWidth="1"/>
    <col min="4" max="4" width="85.57421875" style="108" customWidth="1"/>
    <col min="5" max="6" width="28.57421875" style="108" customWidth="1"/>
    <col min="7" max="7" width="1.421875" style="17" customWidth="1"/>
    <col min="8" max="10" width="31.421875" style="108" customWidth="1"/>
    <col min="11" max="16384" width="9.28125" style="108" customWidth="1"/>
  </cols>
  <sheetData>
    <row r="1" spans="1:6" ht="14.25">
      <c r="A1" s="54" t="s">
        <v>89</v>
      </c>
      <c r="B1" s="80"/>
      <c r="C1" s="55"/>
      <c r="D1" s="22"/>
      <c r="E1" s="22"/>
      <c r="F1" s="22"/>
    </row>
    <row r="2" spans="1:6" ht="26.25" customHeight="1" thickBot="1">
      <c r="A2" s="54" t="s">
        <v>89</v>
      </c>
      <c r="B2" s="80"/>
      <c r="C2" s="184" t="s">
        <v>236</v>
      </c>
      <c r="D2" s="184"/>
      <c r="E2" s="184"/>
      <c r="F2" s="184"/>
    </row>
    <row r="3" spans="1:7" s="109" customFormat="1" ht="27">
      <c r="A3" s="93" t="s">
        <v>89</v>
      </c>
      <c r="B3" s="94"/>
      <c r="C3" s="95"/>
      <c r="D3" s="96" t="s">
        <v>255</v>
      </c>
      <c r="E3" s="67"/>
      <c r="F3" s="67"/>
      <c r="G3" s="63"/>
    </row>
    <row r="4" spans="1:6" ht="25.5" customHeight="1">
      <c r="A4" s="98" t="s">
        <v>89</v>
      </c>
      <c r="B4" s="22"/>
      <c r="C4" s="99" t="s">
        <v>142</v>
      </c>
      <c r="D4" s="100" t="s">
        <v>143</v>
      </c>
      <c r="E4" s="101" t="s">
        <v>144</v>
      </c>
      <c r="F4" s="101" t="s">
        <v>145</v>
      </c>
    </row>
    <row r="5" spans="1:7" s="110" customFormat="1" ht="15" customHeight="1">
      <c r="A5" s="102" t="s">
        <v>89</v>
      </c>
      <c r="B5" s="22"/>
      <c r="C5" s="32">
        <v>1</v>
      </c>
      <c r="D5" s="33" t="s">
        <v>257</v>
      </c>
      <c r="E5" s="103" t="s">
        <v>146</v>
      </c>
      <c r="F5" s="8">
        <v>47.8</v>
      </c>
      <c r="G5" s="17"/>
    </row>
    <row r="6" spans="1:6" ht="17.25" customHeight="1" thickBot="1">
      <c r="A6" s="102" t="s">
        <v>89</v>
      </c>
      <c r="B6" s="22"/>
      <c r="C6" s="32">
        <v>2</v>
      </c>
      <c r="D6" s="33" t="s">
        <v>258</v>
      </c>
      <c r="E6" s="103" t="s">
        <v>146</v>
      </c>
      <c r="F6" s="8">
        <v>56</v>
      </c>
    </row>
    <row r="7" spans="1:6" ht="20.25" customHeight="1" thickBot="1">
      <c r="A7" s="102" t="s">
        <v>89</v>
      </c>
      <c r="B7" s="22"/>
      <c r="C7" s="83">
        <v>3</v>
      </c>
      <c r="D7" s="84" t="s">
        <v>365</v>
      </c>
      <c r="E7" s="85"/>
      <c r="F7" s="9">
        <f>IF(AND(COUNT(F5:F6)=2,(F6)&lt;&gt;0),((F5)/(F6)-1),"")</f>
        <v>-0.14642857142857146</v>
      </c>
    </row>
    <row r="8" spans="2:6" ht="25.5" customHeight="1">
      <c r="B8" s="22"/>
      <c r="C8" s="22"/>
      <c r="D8" s="22"/>
      <c r="E8" s="22"/>
      <c r="F8" s="22"/>
    </row>
    <row r="9" spans="2:6" ht="25.5" customHeight="1" thickBot="1">
      <c r="B9" s="22"/>
      <c r="C9" s="106" t="s">
        <v>90</v>
      </c>
      <c r="D9" s="106"/>
      <c r="E9" s="106"/>
      <c r="F9" s="106"/>
    </row>
    <row r="10" spans="2:6" ht="34.5" customHeight="1">
      <c r="B10" s="22"/>
      <c r="C10" s="107" t="s">
        <v>147</v>
      </c>
      <c r="D10" s="186" t="s">
        <v>148</v>
      </c>
      <c r="E10" s="186"/>
      <c r="F10" s="186"/>
    </row>
    <row r="11" spans="2:6" ht="34.5" customHeight="1">
      <c r="B11" s="22"/>
      <c r="C11" s="107"/>
      <c r="D11" s="186"/>
      <c r="E11" s="186"/>
      <c r="F11" s="186"/>
    </row>
    <row r="12" ht="34.5" customHeight="1"/>
    <row r="13" ht="34.5" customHeight="1"/>
    <row r="14" ht="34.5" customHeight="1"/>
    <row r="15" ht="34.5" customHeight="1"/>
    <row r="20" ht="10.5" customHeight="1"/>
    <row r="22" ht="24.75" customHeight="1"/>
    <row r="23" ht="24.75" customHeight="1"/>
  </sheetData>
  <sheetProtection password="CF7A" sheet="1" objects="1" scenarios="1"/>
  <mergeCells count="3">
    <mergeCell ref="C2:F2"/>
    <mergeCell ref="D10:F10"/>
    <mergeCell ref="D11:F11"/>
  </mergeCells>
  <printOptions/>
  <pageMargins left="0" right="0" top="0.7480314960629921" bottom="0.7480314960629921" header="0.31496062992125984" footer="0.31496062992125984"/>
  <pageSetup horizontalDpi="600" verticalDpi="600" orientation="landscape" scale="90" r:id="rId1"/>
</worksheet>
</file>

<file path=xl/worksheets/sheet22.xml><?xml version="1.0" encoding="utf-8"?>
<worksheet xmlns="http://schemas.openxmlformats.org/spreadsheetml/2006/main" xmlns:r="http://schemas.openxmlformats.org/officeDocument/2006/relationships">
  <dimension ref="A1:G23"/>
  <sheetViews>
    <sheetView zoomScale="78" zoomScaleNormal="78" zoomScalePageLayoutView="0" workbookViewId="0" topLeftCell="D1">
      <selection activeCell="E14" sqref="E14"/>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0.9921875" style="1" customWidth="1"/>
    <col min="7" max="7" width="76.57421875" style="22" bestFit="1" customWidth="1"/>
    <col min="8" max="16384" width="9.28125" style="22" customWidth="1"/>
  </cols>
  <sheetData>
    <row r="1" spans="1:3" ht="9.75">
      <c r="A1" s="54" t="s">
        <v>89</v>
      </c>
      <c r="C1" s="55"/>
    </row>
    <row r="2" spans="1:5" ht="27" customHeight="1" thickBot="1">
      <c r="A2" s="54" t="s">
        <v>89</v>
      </c>
      <c r="C2" s="208" t="s">
        <v>236</v>
      </c>
      <c r="D2" s="208"/>
      <c r="E2" s="208"/>
    </row>
    <row r="3" spans="1:7" s="67" customFormat="1" ht="9.75">
      <c r="A3" s="62" t="s">
        <v>89</v>
      </c>
      <c r="C3" s="64"/>
      <c r="D3" s="96" t="s">
        <v>165</v>
      </c>
      <c r="E3" s="129"/>
      <c r="F3" s="2"/>
      <c r="G3" s="22"/>
    </row>
    <row r="4" spans="1:5" ht="37.5" customHeight="1">
      <c r="A4" s="21" t="s">
        <v>92</v>
      </c>
      <c r="C4" s="99" t="s">
        <v>142</v>
      </c>
      <c r="D4" s="100" t="s">
        <v>348</v>
      </c>
      <c r="E4" s="101" t="s">
        <v>166</v>
      </c>
    </row>
    <row r="5" spans="1:7" ht="27.75" customHeight="1">
      <c r="A5" s="21" t="s">
        <v>89</v>
      </c>
      <c r="C5" s="32" t="s">
        <v>164</v>
      </c>
      <c r="D5" s="136" t="s">
        <v>261</v>
      </c>
      <c r="E5" s="166" t="s">
        <v>54</v>
      </c>
      <c r="F5" s="5">
        <f>COUNTBLANK(E5:E11)</f>
        <v>0</v>
      </c>
      <c r="G5" s="81"/>
    </row>
    <row r="6" spans="3:7" ht="14.25">
      <c r="C6" s="32" t="s">
        <v>160</v>
      </c>
      <c r="D6" s="136" t="s">
        <v>262</v>
      </c>
      <c r="E6" s="171" t="s">
        <v>55</v>
      </c>
      <c r="G6" s="81"/>
    </row>
    <row r="7" spans="3:5" ht="24.75" customHeight="1">
      <c r="C7" s="32">
        <v>3</v>
      </c>
      <c r="D7" s="136" t="s">
        <v>263</v>
      </c>
      <c r="E7" s="171" t="s">
        <v>56</v>
      </c>
    </row>
    <row r="8" spans="3:5" ht="34.5" customHeight="1">
      <c r="C8" s="32">
        <v>4</v>
      </c>
      <c r="D8" s="136" t="s">
        <v>264</v>
      </c>
      <c r="E8" s="159" t="s">
        <v>57</v>
      </c>
    </row>
    <row r="9" spans="3:5" ht="20.25">
      <c r="C9" s="32">
        <v>5</v>
      </c>
      <c r="D9" s="136" t="s">
        <v>265</v>
      </c>
      <c r="E9" s="159" t="s">
        <v>58</v>
      </c>
    </row>
    <row r="10" spans="3:5" ht="48" customHeight="1">
      <c r="C10" s="32">
        <v>6</v>
      </c>
      <c r="D10" s="136" t="s">
        <v>435</v>
      </c>
      <c r="E10" s="171" t="s">
        <v>802</v>
      </c>
    </row>
    <row r="11" spans="3:5" ht="48" customHeight="1" thickBot="1">
      <c r="C11" s="32">
        <v>7</v>
      </c>
      <c r="D11" s="136" t="s">
        <v>371</v>
      </c>
      <c r="E11" s="6" t="s">
        <v>803</v>
      </c>
    </row>
    <row r="12" spans="3:5" ht="16.5" customHeight="1" thickBot="1">
      <c r="C12" s="88"/>
      <c r="D12" s="137"/>
      <c r="E12" s="7" t="str">
        <f>+IF(F5="","",(IF(F5=0,"да","нет")))</f>
        <v>да</v>
      </c>
    </row>
    <row r="13" spans="3:5" ht="16.5" customHeight="1">
      <c r="C13" s="88"/>
      <c r="D13" s="137"/>
      <c r="E13" s="152"/>
    </row>
    <row r="14" spans="3:5" ht="10.5" thickBot="1">
      <c r="C14" s="106" t="s">
        <v>90</v>
      </c>
      <c r="D14" s="106"/>
      <c r="E14" s="106"/>
    </row>
    <row r="16" spans="3:5" ht="9.75">
      <c r="C16" s="185"/>
      <c r="D16" s="185"/>
      <c r="E16" s="185"/>
    </row>
    <row r="18" spans="1:6" s="107" customFormat="1" ht="24.75" customHeight="1">
      <c r="A18" s="143"/>
      <c r="C18" s="107" t="s">
        <v>147</v>
      </c>
      <c r="D18" s="186" t="s">
        <v>260</v>
      </c>
      <c r="E18" s="186"/>
      <c r="F18" s="4"/>
    </row>
    <row r="19" spans="1:6" s="107" customFormat="1" ht="15" customHeight="1">
      <c r="A19" s="143"/>
      <c r="C19" s="107" t="s">
        <v>154</v>
      </c>
      <c r="D19" s="186" t="s">
        <v>163</v>
      </c>
      <c r="E19" s="186"/>
      <c r="F19" s="4"/>
    </row>
    <row r="20" spans="3:5" ht="26.25" customHeight="1">
      <c r="C20" s="107" t="s">
        <v>155</v>
      </c>
      <c r="D20" s="186" t="s">
        <v>167</v>
      </c>
      <c r="E20" s="186"/>
    </row>
    <row r="21" spans="3:5" ht="22.5" customHeight="1">
      <c r="C21" s="107" t="s">
        <v>156</v>
      </c>
      <c r="D21" s="186" t="s">
        <v>583</v>
      </c>
      <c r="E21" s="186"/>
    </row>
    <row r="22" ht="18" customHeight="1">
      <c r="C22" s="107"/>
    </row>
    <row r="23" ht="24.75" customHeight="1">
      <c r="C23" s="107"/>
    </row>
  </sheetData>
  <sheetProtection password="CF7A" sheet="1" objects="1" scenarios="1"/>
  <mergeCells count="6">
    <mergeCell ref="D20:E20"/>
    <mergeCell ref="D21:E21"/>
    <mergeCell ref="C2:E2"/>
    <mergeCell ref="C16:E16"/>
    <mergeCell ref="D18:E18"/>
    <mergeCell ref="D19:E19"/>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17"/>
  <sheetViews>
    <sheetView zoomScale="79" zoomScaleNormal="79" zoomScalePageLayoutView="0" workbookViewId="0" topLeftCell="C1">
      <selection activeCell="G13" sqref="G13"/>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1.28515625" style="1" customWidth="1"/>
    <col min="7" max="7" width="76.57421875" style="22" bestFit="1" customWidth="1"/>
    <col min="8" max="16384" width="9.28125" style="22" customWidth="1"/>
  </cols>
  <sheetData>
    <row r="1" spans="1:3" ht="9.75">
      <c r="A1" s="54" t="s">
        <v>89</v>
      </c>
      <c r="C1" s="55"/>
    </row>
    <row r="2" spans="1:5" ht="27" customHeight="1" thickBot="1">
      <c r="A2" s="54" t="s">
        <v>89</v>
      </c>
      <c r="C2" s="184" t="s">
        <v>236</v>
      </c>
      <c r="D2" s="184"/>
      <c r="E2" s="184"/>
    </row>
    <row r="3" spans="1:7" s="67" customFormat="1" ht="9.75">
      <c r="A3" s="62" t="s">
        <v>89</v>
      </c>
      <c r="C3" s="64"/>
      <c r="D3" s="96" t="s">
        <v>170</v>
      </c>
      <c r="E3" s="129"/>
      <c r="F3" s="2"/>
      <c r="G3" s="22"/>
    </row>
    <row r="4" spans="1:5" ht="49.5" customHeight="1">
      <c r="A4" s="21" t="s">
        <v>92</v>
      </c>
      <c r="C4" s="99" t="s">
        <v>142</v>
      </c>
      <c r="D4" s="100" t="s">
        <v>266</v>
      </c>
      <c r="E4" s="101" t="s">
        <v>417</v>
      </c>
    </row>
    <row r="5" spans="3:6" ht="33" customHeight="1">
      <c r="C5" s="32">
        <v>1</v>
      </c>
      <c r="D5" s="136" t="s">
        <v>334</v>
      </c>
      <c r="E5" s="6" t="s">
        <v>59</v>
      </c>
      <c r="F5" s="5">
        <f>COUNTBLANK(E5:E7)</f>
        <v>0</v>
      </c>
    </row>
    <row r="6" spans="3:5" ht="24" customHeight="1">
      <c r="C6" s="32">
        <v>2</v>
      </c>
      <c r="D6" s="136" t="s">
        <v>372</v>
      </c>
      <c r="E6" s="6" t="s">
        <v>820</v>
      </c>
    </row>
    <row r="7" spans="3:7" ht="51" thickBot="1">
      <c r="C7" s="32">
        <v>3</v>
      </c>
      <c r="D7" s="136" t="s">
        <v>373</v>
      </c>
      <c r="E7" s="6" t="s">
        <v>821</v>
      </c>
      <c r="G7" s="81"/>
    </row>
    <row r="8" ht="10.5" thickBot="1">
      <c r="E8" s="7" t="str">
        <f>+IF(F5="","",(IF(F5=0,"да","нет")))</f>
        <v>да</v>
      </c>
    </row>
    <row r="9" spans="3:5" ht="10.5" thickBot="1">
      <c r="C9" s="106" t="s">
        <v>90</v>
      </c>
      <c r="D9" s="106"/>
      <c r="E9" s="106"/>
    </row>
    <row r="11" spans="3:5" ht="9.75">
      <c r="C11" s="185"/>
      <c r="D11" s="185"/>
      <c r="E11" s="185"/>
    </row>
    <row r="13" spans="1:6" s="107" customFormat="1" ht="24.75" customHeight="1">
      <c r="A13" s="143"/>
      <c r="C13" s="107" t="s">
        <v>147</v>
      </c>
      <c r="D13" s="186" t="s">
        <v>260</v>
      </c>
      <c r="E13" s="186"/>
      <c r="F13" s="4"/>
    </row>
    <row r="14" spans="3:5" ht="26.25" customHeight="1">
      <c r="C14" s="107" t="s">
        <v>154</v>
      </c>
      <c r="D14" s="186" t="s">
        <v>167</v>
      </c>
      <c r="E14" s="186"/>
    </row>
    <row r="15" spans="3:5" ht="22.5" customHeight="1">
      <c r="C15" s="107" t="s">
        <v>155</v>
      </c>
      <c r="D15" s="186" t="s">
        <v>586</v>
      </c>
      <c r="E15" s="186"/>
    </row>
    <row r="16" spans="3:4" ht="9.75">
      <c r="C16" s="107" t="s">
        <v>156</v>
      </c>
      <c r="D16" s="22" t="s">
        <v>416</v>
      </c>
    </row>
    <row r="17" spans="3:4" ht="24.75" customHeight="1">
      <c r="C17" s="22" t="s">
        <v>159</v>
      </c>
      <c r="D17" s="22" t="s">
        <v>418</v>
      </c>
    </row>
    <row r="18" ht="15" customHeight="1"/>
    <row r="19" ht="26.25" customHeight="1"/>
    <row r="20" ht="22.5" customHeight="1"/>
    <row r="21" ht="18" customHeight="1"/>
    <row r="22" ht="24.75" customHeight="1"/>
  </sheetData>
  <sheetProtection password="CF7A" sheet="1" objects="1" scenarios="1"/>
  <mergeCells count="5">
    <mergeCell ref="D15:E15"/>
    <mergeCell ref="C11:E11"/>
    <mergeCell ref="D13:E13"/>
    <mergeCell ref="C2:E2"/>
    <mergeCell ref="D14:E1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201"/>
  <sheetViews>
    <sheetView zoomScale="72" zoomScaleNormal="72" zoomScalePageLayoutView="0" workbookViewId="0" topLeftCell="B7">
      <selection activeCell="G11" sqref="G11"/>
    </sheetView>
  </sheetViews>
  <sheetFormatPr defaultColWidth="0" defaultRowHeight="15"/>
  <cols>
    <col min="1" max="1" width="4.421875" style="21" hidden="1" customWidth="1"/>
    <col min="2" max="2" width="1.421875" style="22" customWidth="1"/>
    <col min="3" max="3" width="6.421875" style="22" customWidth="1"/>
    <col min="4" max="4" width="46.57421875" style="22" customWidth="1"/>
    <col min="5" max="5" width="23.57421875" style="22" customWidth="1"/>
    <col min="6" max="6" width="20.7109375" style="17" customWidth="1"/>
    <col min="7" max="7" width="22.7109375" style="22" customWidth="1"/>
    <col min="8" max="8" width="8.7109375" style="22" hidden="1" customWidth="1"/>
    <col min="9" max="255" width="9.28125" style="22" customWidth="1"/>
    <col min="256" max="16384" width="0" style="22" hidden="1" customWidth="1"/>
  </cols>
  <sheetData>
    <row r="1" spans="1:3" ht="9.75">
      <c r="A1" s="54" t="s">
        <v>89</v>
      </c>
      <c r="C1" s="55"/>
    </row>
    <row r="2" spans="1:7" ht="40.5" customHeight="1">
      <c r="A2" s="54" t="s">
        <v>89</v>
      </c>
      <c r="C2" s="203" t="s">
        <v>236</v>
      </c>
      <c r="D2" s="203"/>
      <c r="E2" s="203"/>
      <c r="F2" s="203"/>
      <c r="G2" s="203"/>
    </row>
    <row r="3" spans="1:7" s="67" customFormat="1" ht="9.75">
      <c r="A3" s="62" t="s">
        <v>89</v>
      </c>
      <c r="C3" s="64"/>
      <c r="D3" s="96" t="s">
        <v>366</v>
      </c>
      <c r="E3" s="129"/>
      <c r="F3" s="129"/>
      <c r="G3" s="129"/>
    </row>
    <row r="4" spans="1:7" s="67" customFormat="1" ht="44.25" customHeight="1">
      <c r="A4" s="62"/>
      <c r="C4" s="32" t="s">
        <v>147</v>
      </c>
      <c r="D4" s="136" t="s">
        <v>374</v>
      </c>
      <c r="E4" s="25">
        <f>COUNTIF(H:H,0)</f>
        <v>28</v>
      </c>
      <c r="F4" s="129"/>
      <c r="G4" s="129"/>
    </row>
    <row r="5" spans="1:7" s="67" customFormat="1" ht="21" thickBot="1">
      <c r="A5" s="62"/>
      <c r="C5" s="32" t="s">
        <v>154</v>
      </c>
      <c r="D5" s="136" t="s">
        <v>375</v>
      </c>
      <c r="E5" s="25">
        <f>+COUNTA(D9:D94,D96:D104)</f>
        <v>28</v>
      </c>
      <c r="F5" s="129"/>
      <c r="G5" s="129"/>
    </row>
    <row r="6" spans="1:7" s="67" customFormat="1" ht="21" thickBot="1">
      <c r="A6" s="62"/>
      <c r="C6" s="83" t="s">
        <v>155</v>
      </c>
      <c r="D6" s="84" t="s">
        <v>437</v>
      </c>
      <c r="E6" s="26">
        <f>+IF(OR(E5=0,E5=""),"",E4/E5)</f>
        <v>1</v>
      </c>
      <c r="F6" s="129"/>
      <c r="G6" s="129"/>
    </row>
    <row r="7" spans="1:7" ht="71.25">
      <c r="A7" s="21" t="s">
        <v>92</v>
      </c>
      <c r="C7" s="99" t="s">
        <v>142</v>
      </c>
      <c r="D7" s="100" t="s">
        <v>337</v>
      </c>
      <c r="E7" s="101" t="s">
        <v>421</v>
      </c>
      <c r="F7" s="101" t="s">
        <v>420</v>
      </c>
      <c r="G7" s="101" t="s">
        <v>419</v>
      </c>
    </row>
    <row r="8" spans="1:7" ht="9.75">
      <c r="A8" s="21" t="s">
        <v>89</v>
      </c>
      <c r="C8" s="131" t="s">
        <v>156</v>
      </c>
      <c r="D8" s="144" t="s">
        <v>338</v>
      </c>
      <c r="E8" s="49"/>
      <c r="F8" s="49"/>
      <c r="G8" s="49"/>
    </row>
    <row r="9" spans="1:11" ht="40.5">
      <c r="A9" s="21" t="s">
        <v>89</v>
      </c>
      <c r="C9" s="16" t="s">
        <v>438</v>
      </c>
      <c r="D9" s="20" t="s">
        <v>637</v>
      </c>
      <c r="E9" s="6" t="s">
        <v>60</v>
      </c>
      <c r="F9" s="6" t="s">
        <v>61</v>
      </c>
      <c r="G9" s="6" t="s">
        <v>61</v>
      </c>
      <c r="H9" s="22">
        <f>COUNTBLANK(E9:G9)</f>
        <v>0</v>
      </c>
      <c r="J9" s="145"/>
      <c r="K9" s="145"/>
    </row>
    <row r="10" spans="3:11" ht="30">
      <c r="C10" s="16" t="s">
        <v>439</v>
      </c>
      <c r="D10" s="20" t="s">
        <v>62</v>
      </c>
      <c r="E10" s="6" t="s">
        <v>63</v>
      </c>
      <c r="F10" s="6" t="s">
        <v>61</v>
      </c>
      <c r="G10" s="6" t="s">
        <v>61</v>
      </c>
      <c r="H10" s="22">
        <f aca="true" t="shared" si="0" ref="H10:H125">COUNTBLANK(E10:G10)</f>
        <v>0</v>
      </c>
      <c r="J10" s="145"/>
      <c r="K10" s="145"/>
    </row>
    <row r="11" spans="3:11" ht="30">
      <c r="C11" s="16" t="s">
        <v>440</v>
      </c>
      <c r="D11" s="20" t="s">
        <v>644</v>
      </c>
      <c r="E11" s="6" t="s">
        <v>64</v>
      </c>
      <c r="F11" s="6" t="s">
        <v>61</v>
      </c>
      <c r="G11" s="6" t="s">
        <v>61</v>
      </c>
      <c r="H11" s="22">
        <f t="shared" si="0"/>
        <v>0</v>
      </c>
      <c r="J11" s="145"/>
      <c r="K11" s="145"/>
    </row>
    <row r="12" spans="3:11" ht="30">
      <c r="C12" s="16" t="s">
        <v>441</v>
      </c>
      <c r="D12" s="20" t="s">
        <v>681</v>
      </c>
      <c r="E12" s="6" t="s">
        <v>65</v>
      </c>
      <c r="F12" s="6" t="s">
        <v>61</v>
      </c>
      <c r="G12" s="6" t="s">
        <v>61</v>
      </c>
      <c r="H12" s="22">
        <f t="shared" si="0"/>
        <v>0</v>
      </c>
      <c r="J12" s="145"/>
      <c r="K12" s="145"/>
    </row>
    <row r="13" spans="3:11" ht="12" customHeight="1">
      <c r="C13" s="16" t="s">
        <v>442</v>
      </c>
      <c r="D13" s="20" t="s">
        <v>66</v>
      </c>
      <c r="E13" s="6" t="s">
        <v>65</v>
      </c>
      <c r="F13" s="6" t="s">
        <v>61</v>
      </c>
      <c r="G13" s="6" t="s">
        <v>61</v>
      </c>
      <c r="H13" s="22">
        <f t="shared" si="0"/>
        <v>0</v>
      </c>
      <c r="J13" s="145"/>
      <c r="K13" s="145"/>
    </row>
    <row r="14" spans="3:11" ht="60.75">
      <c r="C14" s="16" t="s">
        <v>478</v>
      </c>
      <c r="D14" s="20" t="s">
        <v>67</v>
      </c>
      <c r="E14" s="6" t="s">
        <v>68</v>
      </c>
      <c r="F14" s="6" t="s">
        <v>61</v>
      </c>
      <c r="G14" s="6" t="s">
        <v>61</v>
      </c>
      <c r="H14" s="22">
        <f t="shared" si="0"/>
        <v>0</v>
      </c>
      <c r="J14" s="145"/>
      <c r="K14" s="145"/>
    </row>
    <row r="15" spans="3:11" ht="30">
      <c r="C15" s="16" t="s">
        <v>485</v>
      </c>
      <c r="D15" s="20" t="s">
        <v>69</v>
      </c>
      <c r="E15" s="6" t="s">
        <v>70</v>
      </c>
      <c r="F15" s="6" t="s">
        <v>61</v>
      </c>
      <c r="G15" s="6" t="s">
        <v>61</v>
      </c>
      <c r="H15" s="22">
        <f t="shared" si="0"/>
        <v>0</v>
      </c>
      <c r="J15" s="145"/>
      <c r="K15" s="145"/>
    </row>
    <row r="16" spans="3:11" ht="30">
      <c r="C16" s="16" t="s">
        <v>486</v>
      </c>
      <c r="D16" s="20" t="s">
        <v>71</v>
      </c>
      <c r="E16" s="6" t="s">
        <v>72</v>
      </c>
      <c r="F16" s="6" t="s">
        <v>61</v>
      </c>
      <c r="G16" s="6" t="s">
        <v>61</v>
      </c>
      <c r="H16" s="22">
        <f t="shared" si="0"/>
        <v>0</v>
      </c>
      <c r="J16" s="145"/>
      <c r="K16" s="145"/>
    </row>
    <row r="17" spans="3:11" ht="30">
      <c r="C17" s="16" t="s">
        <v>487</v>
      </c>
      <c r="D17" s="20" t="s">
        <v>73</v>
      </c>
      <c r="E17" s="6" t="s">
        <v>74</v>
      </c>
      <c r="F17" s="6" t="s">
        <v>61</v>
      </c>
      <c r="G17" s="6" t="s">
        <v>61</v>
      </c>
      <c r="H17" s="22">
        <f t="shared" si="0"/>
        <v>0</v>
      </c>
      <c r="J17" s="145"/>
      <c r="K17" s="145"/>
    </row>
    <row r="18" spans="3:11" ht="30">
      <c r="C18" s="16" t="s">
        <v>488</v>
      </c>
      <c r="D18" s="20" t="s">
        <v>75</v>
      </c>
      <c r="E18" s="6" t="s">
        <v>63</v>
      </c>
      <c r="F18" s="6" t="s">
        <v>61</v>
      </c>
      <c r="G18" s="6" t="s">
        <v>61</v>
      </c>
      <c r="H18" s="22">
        <f t="shared" si="0"/>
        <v>0</v>
      </c>
      <c r="J18" s="145"/>
      <c r="K18" s="145"/>
    </row>
    <row r="19" spans="3:11" ht="11.25" customHeight="1">
      <c r="C19" s="16" t="s">
        <v>489</v>
      </c>
      <c r="D19" s="20" t="s">
        <v>648</v>
      </c>
      <c r="E19" s="6" t="s">
        <v>63</v>
      </c>
      <c r="F19" s="6" t="s">
        <v>61</v>
      </c>
      <c r="G19" s="6" t="s">
        <v>61</v>
      </c>
      <c r="H19" s="22">
        <f t="shared" si="0"/>
        <v>0</v>
      </c>
      <c r="J19" s="145"/>
      <c r="K19" s="145"/>
    </row>
    <row r="20" spans="3:11" ht="9.75" customHeight="1">
      <c r="C20" s="16" t="s">
        <v>490</v>
      </c>
      <c r="D20" s="20" t="s">
        <v>657</v>
      </c>
      <c r="E20" s="6" t="s">
        <v>76</v>
      </c>
      <c r="F20" s="6" t="s">
        <v>61</v>
      </c>
      <c r="G20" s="6" t="s">
        <v>61</v>
      </c>
      <c r="H20" s="22">
        <f t="shared" si="0"/>
        <v>0</v>
      </c>
      <c r="J20" s="145"/>
      <c r="K20" s="145"/>
    </row>
    <row r="21" spans="3:11" ht="30">
      <c r="C21" s="16" t="s">
        <v>491</v>
      </c>
      <c r="D21" s="20" t="s">
        <v>649</v>
      </c>
      <c r="E21" s="6" t="s">
        <v>77</v>
      </c>
      <c r="F21" s="6" t="s">
        <v>61</v>
      </c>
      <c r="G21" s="6" t="s">
        <v>61</v>
      </c>
      <c r="H21" s="22">
        <f t="shared" si="0"/>
        <v>0</v>
      </c>
      <c r="J21" s="145"/>
      <c r="K21" s="145"/>
    </row>
    <row r="22" spans="3:11" ht="30">
      <c r="C22" s="16" t="s">
        <v>492</v>
      </c>
      <c r="D22" s="20" t="s">
        <v>78</v>
      </c>
      <c r="E22" s="6" t="s">
        <v>79</v>
      </c>
      <c r="F22" s="6" t="s">
        <v>61</v>
      </c>
      <c r="G22" s="6" t="s">
        <v>61</v>
      </c>
      <c r="H22" s="22">
        <f t="shared" si="0"/>
        <v>0</v>
      </c>
      <c r="J22" s="145"/>
      <c r="K22" s="145"/>
    </row>
    <row r="23" spans="3:11" ht="30">
      <c r="C23" s="16" t="s">
        <v>493</v>
      </c>
      <c r="D23" s="20" t="s">
        <v>667</v>
      </c>
      <c r="E23" s="6" t="s">
        <v>80</v>
      </c>
      <c r="F23" s="6" t="s">
        <v>61</v>
      </c>
      <c r="G23" s="6" t="s">
        <v>61</v>
      </c>
      <c r="H23" s="22">
        <f t="shared" si="0"/>
        <v>0</v>
      </c>
      <c r="J23" s="145"/>
      <c r="K23" s="145"/>
    </row>
    <row r="24" spans="3:11" ht="30">
      <c r="C24" s="16" t="s">
        <v>494</v>
      </c>
      <c r="D24" s="20" t="s">
        <v>646</v>
      </c>
      <c r="E24" s="6" t="s">
        <v>63</v>
      </c>
      <c r="F24" s="6" t="s">
        <v>61</v>
      </c>
      <c r="G24" s="6" t="s">
        <v>61</v>
      </c>
      <c r="H24" s="22">
        <f t="shared" si="0"/>
        <v>0</v>
      </c>
      <c r="J24" s="145"/>
      <c r="K24" s="145"/>
    </row>
    <row r="25" spans="3:11" ht="30">
      <c r="C25" s="16" t="s">
        <v>495</v>
      </c>
      <c r="D25" s="20" t="s">
        <v>651</v>
      </c>
      <c r="E25" s="6" t="s">
        <v>80</v>
      </c>
      <c r="F25" s="6" t="s">
        <v>61</v>
      </c>
      <c r="G25" s="6" t="s">
        <v>61</v>
      </c>
      <c r="H25" s="22">
        <f t="shared" si="0"/>
        <v>0</v>
      </c>
      <c r="J25" s="145"/>
      <c r="K25" s="145"/>
    </row>
    <row r="26" spans="3:11" ht="30">
      <c r="C26" s="16" t="s">
        <v>496</v>
      </c>
      <c r="D26" s="20" t="s">
        <v>668</v>
      </c>
      <c r="E26" s="6" t="s">
        <v>65</v>
      </c>
      <c r="F26" s="6" t="s">
        <v>61</v>
      </c>
      <c r="G26" s="6" t="s">
        <v>61</v>
      </c>
      <c r="H26" s="22">
        <f t="shared" si="0"/>
        <v>0</v>
      </c>
      <c r="J26" s="145"/>
      <c r="K26" s="145"/>
    </row>
    <row r="27" spans="3:11" ht="30">
      <c r="C27" s="16" t="s">
        <v>497</v>
      </c>
      <c r="D27" s="20" t="s">
        <v>652</v>
      </c>
      <c r="E27" s="6" t="s">
        <v>74</v>
      </c>
      <c r="F27" s="6" t="s">
        <v>61</v>
      </c>
      <c r="G27" s="6" t="s">
        <v>61</v>
      </c>
      <c r="H27" s="22">
        <f t="shared" si="0"/>
        <v>0</v>
      </c>
      <c r="J27" s="145"/>
      <c r="K27" s="145"/>
    </row>
    <row r="28" spans="3:11" ht="12" customHeight="1">
      <c r="C28" s="16" t="s">
        <v>498</v>
      </c>
      <c r="D28" s="20" t="s">
        <v>650</v>
      </c>
      <c r="E28" s="6" t="s">
        <v>81</v>
      </c>
      <c r="F28" s="6" t="s">
        <v>61</v>
      </c>
      <c r="G28" s="6" t="s">
        <v>61</v>
      </c>
      <c r="H28" s="22">
        <f t="shared" si="0"/>
        <v>0</v>
      </c>
      <c r="J28" s="145"/>
      <c r="K28" s="145"/>
    </row>
    <row r="29" spans="3:11" ht="30">
      <c r="C29" s="16" t="s">
        <v>499</v>
      </c>
      <c r="D29" s="20" t="s">
        <v>643</v>
      </c>
      <c r="E29" s="6" t="s">
        <v>70</v>
      </c>
      <c r="F29" s="6" t="s">
        <v>61</v>
      </c>
      <c r="G29" s="6" t="s">
        <v>61</v>
      </c>
      <c r="H29" s="22">
        <f t="shared" si="0"/>
        <v>0</v>
      </c>
      <c r="J29" s="145"/>
      <c r="K29" s="145"/>
    </row>
    <row r="30" spans="3:11" ht="30">
      <c r="C30" s="16" t="s">
        <v>500</v>
      </c>
      <c r="D30" s="20" t="s">
        <v>767</v>
      </c>
      <c r="E30" s="6" t="s">
        <v>83</v>
      </c>
      <c r="F30" s="6" t="s">
        <v>61</v>
      </c>
      <c r="G30" s="6" t="s">
        <v>61</v>
      </c>
      <c r="H30" s="22">
        <f t="shared" si="0"/>
        <v>0</v>
      </c>
      <c r="J30" s="145"/>
      <c r="K30" s="145"/>
    </row>
    <row r="31" spans="3:11" ht="14.25">
      <c r="C31" s="16" t="s">
        <v>501</v>
      </c>
      <c r="D31" s="20"/>
      <c r="E31" s="159"/>
      <c r="F31" s="159"/>
      <c r="G31" s="159"/>
      <c r="H31" s="22">
        <f t="shared" si="0"/>
        <v>3</v>
      </c>
      <c r="J31" s="145"/>
      <c r="K31" s="145"/>
    </row>
    <row r="32" spans="3:11" ht="14.25">
      <c r="C32" s="16" t="s">
        <v>502</v>
      </c>
      <c r="D32" s="20"/>
      <c r="E32" s="159"/>
      <c r="F32" s="159"/>
      <c r="G32" s="159"/>
      <c r="H32" s="22">
        <f t="shared" si="0"/>
        <v>3</v>
      </c>
      <c r="J32" s="145"/>
      <c r="K32" s="145"/>
    </row>
    <row r="33" spans="3:11" ht="14.25">
      <c r="C33" s="16" t="s">
        <v>503</v>
      </c>
      <c r="D33" s="20"/>
      <c r="E33" s="159"/>
      <c r="F33" s="159"/>
      <c r="G33" s="159"/>
      <c r="H33" s="22">
        <f t="shared" si="0"/>
        <v>3</v>
      </c>
      <c r="J33" s="145"/>
      <c r="K33" s="145"/>
    </row>
    <row r="34" spans="3:11" ht="14.25">
      <c r="C34" s="16" t="s">
        <v>504</v>
      </c>
      <c r="D34" s="20"/>
      <c r="E34" s="159"/>
      <c r="F34" s="159"/>
      <c r="G34" s="159"/>
      <c r="H34" s="22">
        <f t="shared" si="0"/>
        <v>3</v>
      </c>
      <c r="J34" s="145"/>
      <c r="K34" s="145"/>
    </row>
    <row r="35" spans="3:11" ht="14.25">
      <c r="C35" s="16" t="s">
        <v>505</v>
      </c>
      <c r="D35" s="20"/>
      <c r="E35" s="159"/>
      <c r="F35" s="159"/>
      <c r="G35" s="159"/>
      <c r="H35" s="22">
        <f t="shared" si="0"/>
        <v>3</v>
      </c>
      <c r="J35" s="145"/>
      <c r="K35" s="145"/>
    </row>
    <row r="36" spans="3:11" ht="14.25">
      <c r="C36" s="16" t="s">
        <v>506</v>
      </c>
      <c r="D36" s="20"/>
      <c r="E36" s="159"/>
      <c r="F36" s="159"/>
      <c r="G36" s="159"/>
      <c r="H36" s="22">
        <f t="shared" si="0"/>
        <v>3</v>
      </c>
      <c r="J36" s="145"/>
      <c r="K36" s="145"/>
    </row>
    <row r="37" spans="3:11" ht="14.25">
      <c r="C37" s="16" t="s">
        <v>507</v>
      </c>
      <c r="D37" s="20"/>
      <c r="E37" s="159"/>
      <c r="F37" s="159"/>
      <c r="G37" s="159"/>
      <c r="H37" s="22">
        <f t="shared" si="0"/>
        <v>3</v>
      </c>
      <c r="J37" s="145"/>
      <c r="K37" s="145"/>
    </row>
    <row r="38" spans="3:11" ht="14.25">
      <c r="C38" s="16" t="s">
        <v>508</v>
      </c>
      <c r="D38" s="20"/>
      <c r="E38" s="159"/>
      <c r="F38" s="159"/>
      <c r="G38" s="159"/>
      <c r="H38" s="22">
        <f t="shared" si="0"/>
        <v>3</v>
      </c>
      <c r="J38" s="145"/>
      <c r="K38" s="145"/>
    </row>
    <row r="39" spans="3:11" ht="14.25">
      <c r="C39" s="16" t="s">
        <v>509</v>
      </c>
      <c r="D39" s="20"/>
      <c r="E39" s="159"/>
      <c r="F39" s="159"/>
      <c r="G39" s="159"/>
      <c r="H39" s="22">
        <f t="shared" si="0"/>
        <v>3</v>
      </c>
      <c r="J39" s="145"/>
      <c r="K39" s="145"/>
    </row>
    <row r="40" spans="3:11" ht="14.25">
      <c r="C40" s="16" t="s">
        <v>510</v>
      </c>
      <c r="D40" s="20"/>
      <c r="E40" s="159"/>
      <c r="F40" s="159"/>
      <c r="G40" s="159"/>
      <c r="H40" s="22">
        <f t="shared" si="0"/>
        <v>3</v>
      </c>
      <c r="J40" s="145"/>
      <c r="K40" s="145"/>
    </row>
    <row r="41" spans="3:11" ht="14.25">
      <c r="C41" s="16" t="s">
        <v>511</v>
      </c>
      <c r="D41" s="20"/>
      <c r="E41" s="159"/>
      <c r="F41" s="159"/>
      <c r="G41" s="159"/>
      <c r="H41" s="22">
        <f t="shared" si="0"/>
        <v>3</v>
      </c>
      <c r="J41" s="145"/>
      <c r="K41" s="145"/>
    </row>
    <row r="42" spans="3:11" ht="14.25">
      <c r="C42" s="16" t="s">
        <v>512</v>
      </c>
      <c r="D42" s="20"/>
      <c r="E42" s="159"/>
      <c r="F42" s="159"/>
      <c r="G42" s="159"/>
      <c r="H42" s="22">
        <f t="shared" si="0"/>
        <v>3</v>
      </c>
      <c r="J42" s="145"/>
      <c r="K42" s="145"/>
    </row>
    <row r="43" spans="3:11" ht="14.25">
      <c r="C43" s="16" t="s">
        <v>513</v>
      </c>
      <c r="D43" s="20"/>
      <c r="E43" s="159"/>
      <c r="F43" s="159"/>
      <c r="G43" s="159"/>
      <c r="H43" s="22">
        <f t="shared" si="0"/>
        <v>3</v>
      </c>
      <c r="J43" s="145"/>
      <c r="K43" s="145"/>
    </row>
    <row r="44" spans="3:11" ht="14.25">
      <c r="C44" s="16" t="s">
        <v>514</v>
      </c>
      <c r="D44" s="20"/>
      <c r="E44" s="159"/>
      <c r="F44" s="159"/>
      <c r="G44" s="159"/>
      <c r="H44" s="22">
        <f t="shared" si="0"/>
        <v>3</v>
      </c>
      <c r="J44" s="145"/>
      <c r="K44" s="145"/>
    </row>
    <row r="45" spans="3:11" ht="14.25">
      <c r="C45" s="16" t="s">
        <v>515</v>
      </c>
      <c r="D45" s="20"/>
      <c r="E45" s="159"/>
      <c r="F45" s="159"/>
      <c r="G45" s="159"/>
      <c r="H45" s="22">
        <f t="shared" si="0"/>
        <v>3</v>
      </c>
      <c r="J45" s="145"/>
      <c r="K45" s="145"/>
    </row>
    <row r="46" spans="3:11" ht="14.25">
      <c r="C46" s="16" t="s">
        <v>516</v>
      </c>
      <c r="D46" s="20"/>
      <c r="E46" s="159"/>
      <c r="F46" s="159"/>
      <c r="G46" s="159"/>
      <c r="H46" s="22">
        <f t="shared" si="0"/>
        <v>3</v>
      </c>
      <c r="J46" s="145"/>
      <c r="K46" s="145"/>
    </row>
    <row r="47" spans="3:11" ht="14.25">
      <c r="C47" s="16" t="s">
        <v>517</v>
      </c>
      <c r="D47" s="20"/>
      <c r="E47" s="159"/>
      <c r="F47" s="159"/>
      <c r="G47" s="159"/>
      <c r="H47" s="22">
        <f t="shared" si="0"/>
        <v>3</v>
      </c>
      <c r="J47" s="145"/>
      <c r="K47" s="145"/>
    </row>
    <row r="48" spans="3:11" ht="14.25">
      <c r="C48" s="16" t="s">
        <v>518</v>
      </c>
      <c r="D48" s="20"/>
      <c r="E48" s="159"/>
      <c r="F48" s="159"/>
      <c r="G48" s="159"/>
      <c r="H48" s="22">
        <f t="shared" si="0"/>
        <v>3</v>
      </c>
      <c r="J48" s="145"/>
      <c r="K48" s="145"/>
    </row>
    <row r="49" spans="3:11" ht="9.75" customHeight="1">
      <c r="C49" s="16" t="s">
        <v>519</v>
      </c>
      <c r="D49" s="20"/>
      <c r="E49" s="159"/>
      <c r="F49" s="159"/>
      <c r="G49" s="159"/>
      <c r="H49" s="22">
        <f t="shared" si="0"/>
        <v>3</v>
      </c>
      <c r="J49" s="145"/>
      <c r="K49" s="145"/>
    </row>
    <row r="50" spans="3:11" ht="14.25">
      <c r="C50" s="16" t="s">
        <v>520</v>
      </c>
      <c r="D50" s="20"/>
      <c r="E50" s="159"/>
      <c r="F50" s="159"/>
      <c r="G50" s="159"/>
      <c r="H50" s="22">
        <f t="shared" si="0"/>
        <v>3</v>
      </c>
      <c r="J50" s="145"/>
      <c r="K50" s="145"/>
    </row>
    <row r="51" spans="3:11" ht="14.25">
      <c r="C51" s="16" t="s">
        <v>521</v>
      </c>
      <c r="D51" s="20"/>
      <c r="E51" s="159"/>
      <c r="F51" s="159"/>
      <c r="G51" s="159"/>
      <c r="H51" s="22">
        <f t="shared" si="0"/>
        <v>3</v>
      </c>
      <c r="J51" s="145"/>
      <c r="K51" s="145"/>
    </row>
    <row r="52" spans="3:11" ht="14.25">
      <c r="C52" s="16" t="s">
        <v>522</v>
      </c>
      <c r="D52" s="20"/>
      <c r="E52" s="159"/>
      <c r="F52" s="159"/>
      <c r="G52" s="159"/>
      <c r="H52" s="22">
        <f t="shared" si="0"/>
        <v>3</v>
      </c>
      <c r="J52" s="145"/>
      <c r="K52" s="145"/>
    </row>
    <row r="53" spans="3:11" ht="14.25">
      <c r="C53" s="16" t="s">
        <v>523</v>
      </c>
      <c r="D53" s="20"/>
      <c r="E53" s="159"/>
      <c r="F53" s="159"/>
      <c r="G53" s="159"/>
      <c r="H53" s="22">
        <f t="shared" si="0"/>
        <v>3</v>
      </c>
      <c r="J53" s="145"/>
      <c r="K53" s="145"/>
    </row>
    <row r="54" spans="3:11" ht="14.25">
      <c r="C54" s="16" t="s">
        <v>524</v>
      </c>
      <c r="D54" s="20"/>
      <c r="E54" s="159"/>
      <c r="F54" s="159"/>
      <c r="G54" s="159"/>
      <c r="H54" s="22">
        <f t="shared" si="0"/>
        <v>3</v>
      </c>
      <c r="J54" s="145"/>
      <c r="K54" s="145"/>
    </row>
    <row r="55" spans="3:11" ht="14.25">
      <c r="C55" s="16" t="s">
        <v>525</v>
      </c>
      <c r="D55" s="20"/>
      <c r="E55" s="159"/>
      <c r="F55" s="159"/>
      <c r="G55" s="159"/>
      <c r="H55" s="22">
        <f t="shared" si="0"/>
        <v>3</v>
      </c>
      <c r="J55" s="145"/>
      <c r="K55" s="145"/>
    </row>
    <row r="56" spans="3:11" ht="14.25">
      <c r="C56" s="16" t="s">
        <v>526</v>
      </c>
      <c r="D56" s="20"/>
      <c r="E56" s="159"/>
      <c r="F56" s="159"/>
      <c r="G56" s="159"/>
      <c r="H56" s="22">
        <f t="shared" si="0"/>
        <v>3</v>
      </c>
      <c r="J56" s="145"/>
      <c r="K56" s="145"/>
    </row>
    <row r="57" spans="3:11" ht="14.25">
      <c r="C57" s="16" t="s">
        <v>527</v>
      </c>
      <c r="D57" s="20"/>
      <c r="E57" s="159"/>
      <c r="F57" s="159"/>
      <c r="G57" s="159"/>
      <c r="H57" s="22">
        <f t="shared" si="0"/>
        <v>3</v>
      </c>
      <c r="J57" s="145"/>
      <c r="K57" s="145"/>
    </row>
    <row r="58" spans="3:11" ht="14.25">
      <c r="C58" s="16" t="s">
        <v>528</v>
      </c>
      <c r="D58" s="20"/>
      <c r="E58" s="159"/>
      <c r="F58" s="159"/>
      <c r="G58" s="159"/>
      <c r="H58" s="22">
        <f t="shared" si="0"/>
        <v>3</v>
      </c>
      <c r="J58" s="145"/>
      <c r="K58" s="145"/>
    </row>
    <row r="59" spans="3:11" ht="14.25">
      <c r="C59" s="16" t="s">
        <v>529</v>
      </c>
      <c r="D59" s="20"/>
      <c r="E59" s="159"/>
      <c r="F59" s="159"/>
      <c r="G59" s="159"/>
      <c r="H59" s="22">
        <f t="shared" si="0"/>
        <v>3</v>
      </c>
      <c r="J59" s="145"/>
      <c r="K59" s="145"/>
    </row>
    <row r="60" spans="3:11" ht="14.25">
      <c r="C60" s="16" t="s">
        <v>484</v>
      </c>
      <c r="D60" s="20"/>
      <c r="E60" s="159"/>
      <c r="F60" s="159"/>
      <c r="G60" s="159"/>
      <c r="H60" s="22">
        <f t="shared" si="0"/>
        <v>3</v>
      </c>
      <c r="J60" s="145"/>
      <c r="K60" s="145"/>
    </row>
    <row r="61" spans="3:11" ht="14.25">
      <c r="C61" s="16" t="s">
        <v>483</v>
      </c>
      <c r="D61" s="20"/>
      <c r="E61" s="159"/>
      <c r="F61" s="159"/>
      <c r="G61" s="159"/>
      <c r="H61" s="22">
        <f t="shared" si="0"/>
        <v>3</v>
      </c>
      <c r="J61" s="145"/>
      <c r="K61" s="145"/>
    </row>
    <row r="62" spans="3:11" ht="14.25">
      <c r="C62" s="16" t="s">
        <v>482</v>
      </c>
      <c r="D62" s="20"/>
      <c r="E62" s="159"/>
      <c r="F62" s="159"/>
      <c r="G62" s="159"/>
      <c r="H62" s="22">
        <f t="shared" si="0"/>
        <v>3</v>
      </c>
      <c r="J62" s="145"/>
      <c r="K62" s="145"/>
    </row>
    <row r="63" spans="3:11" ht="14.25">
      <c r="C63" s="16" t="s">
        <v>481</v>
      </c>
      <c r="D63" s="20"/>
      <c r="E63" s="159"/>
      <c r="F63" s="159"/>
      <c r="G63" s="159"/>
      <c r="H63" s="22">
        <f t="shared" si="0"/>
        <v>3</v>
      </c>
      <c r="J63" s="145"/>
      <c r="K63" s="145"/>
    </row>
    <row r="64" spans="3:11" ht="14.25">
      <c r="C64" s="16" t="s">
        <v>480</v>
      </c>
      <c r="D64" s="20"/>
      <c r="E64" s="159"/>
      <c r="F64" s="159"/>
      <c r="G64" s="159"/>
      <c r="H64" s="22">
        <f t="shared" si="0"/>
        <v>3</v>
      </c>
      <c r="J64" s="145"/>
      <c r="K64" s="145"/>
    </row>
    <row r="65" spans="3:11" ht="14.25">
      <c r="C65" s="16" t="s">
        <v>479</v>
      </c>
      <c r="D65" s="20"/>
      <c r="E65" s="159"/>
      <c r="F65" s="159"/>
      <c r="G65" s="159"/>
      <c r="H65" s="22">
        <f t="shared" si="0"/>
        <v>3</v>
      </c>
      <c r="J65" s="145"/>
      <c r="K65" s="145"/>
    </row>
    <row r="66" spans="3:11" ht="14.25" hidden="1">
      <c r="C66" s="16" t="s">
        <v>285</v>
      </c>
      <c r="D66" s="20"/>
      <c r="E66" s="159"/>
      <c r="F66" s="159"/>
      <c r="G66" s="159"/>
      <c r="H66" s="22">
        <f t="shared" si="0"/>
        <v>3</v>
      </c>
      <c r="J66" s="145"/>
      <c r="K66" s="145"/>
    </row>
    <row r="67" spans="3:11" ht="14.25" hidden="1">
      <c r="C67" s="16"/>
      <c r="D67" s="20"/>
      <c r="E67" s="159"/>
      <c r="F67" s="159"/>
      <c r="G67" s="159"/>
      <c r="H67" s="22">
        <f t="shared" si="0"/>
        <v>3</v>
      </c>
      <c r="J67" s="145"/>
      <c r="K67" s="145"/>
    </row>
    <row r="68" spans="3:11" ht="14.25" hidden="1">
      <c r="C68" s="16"/>
      <c r="D68" s="20"/>
      <c r="E68" s="159"/>
      <c r="F68" s="159"/>
      <c r="G68" s="159"/>
      <c r="H68" s="22">
        <f t="shared" si="0"/>
        <v>3</v>
      </c>
      <c r="J68" s="145"/>
      <c r="K68" s="145"/>
    </row>
    <row r="69" spans="3:11" ht="14.25" hidden="1">
      <c r="C69" s="16"/>
      <c r="D69" s="20"/>
      <c r="E69" s="159"/>
      <c r="F69" s="159"/>
      <c r="G69" s="159"/>
      <c r="H69" s="22">
        <f t="shared" si="0"/>
        <v>3</v>
      </c>
      <c r="J69" s="145"/>
      <c r="K69" s="145"/>
    </row>
    <row r="70" spans="3:11" ht="14.25" hidden="1">
      <c r="C70" s="16"/>
      <c r="D70" s="20"/>
      <c r="E70" s="159"/>
      <c r="F70" s="159"/>
      <c r="G70" s="159"/>
      <c r="H70" s="22">
        <f t="shared" si="0"/>
        <v>3</v>
      </c>
      <c r="J70" s="145"/>
      <c r="K70" s="145"/>
    </row>
    <row r="71" spans="3:11" ht="14.25" hidden="1">
      <c r="C71" s="16"/>
      <c r="D71" s="20"/>
      <c r="E71" s="159"/>
      <c r="F71" s="159"/>
      <c r="G71" s="159"/>
      <c r="H71" s="22">
        <f t="shared" si="0"/>
        <v>3</v>
      </c>
      <c r="J71" s="145"/>
      <c r="K71" s="145"/>
    </row>
    <row r="72" spans="3:11" ht="14.25" hidden="1">
      <c r="C72" s="16"/>
      <c r="D72" s="20"/>
      <c r="E72" s="159"/>
      <c r="F72" s="159"/>
      <c r="G72" s="159"/>
      <c r="H72" s="22">
        <f t="shared" si="0"/>
        <v>3</v>
      </c>
      <c r="J72" s="145"/>
      <c r="K72" s="145"/>
    </row>
    <row r="73" spans="3:11" ht="14.25" hidden="1">
      <c r="C73" s="16"/>
      <c r="D73" s="20"/>
      <c r="E73" s="159"/>
      <c r="F73" s="159"/>
      <c r="G73" s="159"/>
      <c r="H73" s="22">
        <f t="shared" si="0"/>
        <v>3</v>
      </c>
      <c r="J73" s="145"/>
      <c r="K73" s="145"/>
    </row>
    <row r="74" spans="3:11" ht="19.5" customHeight="1" hidden="1">
      <c r="C74" s="16"/>
      <c r="D74" s="20"/>
      <c r="E74" s="159"/>
      <c r="F74" s="159"/>
      <c r="G74" s="159"/>
      <c r="H74" s="22">
        <f t="shared" si="0"/>
        <v>3</v>
      </c>
      <c r="J74" s="145"/>
      <c r="K74" s="145"/>
    </row>
    <row r="75" spans="3:11" ht="14.25" hidden="1">
      <c r="C75" s="16"/>
      <c r="D75" s="20"/>
      <c r="E75" s="159"/>
      <c r="F75" s="159"/>
      <c r="G75" s="159"/>
      <c r="H75" s="22">
        <f t="shared" si="0"/>
        <v>3</v>
      </c>
      <c r="J75" s="145"/>
      <c r="K75" s="145"/>
    </row>
    <row r="76" spans="3:11" ht="14.25" hidden="1">
      <c r="C76" s="16"/>
      <c r="D76" s="20"/>
      <c r="E76" s="159"/>
      <c r="F76" s="159"/>
      <c r="G76" s="159"/>
      <c r="H76" s="22">
        <f t="shared" si="0"/>
        <v>3</v>
      </c>
      <c r="J76" s="145"/>
      <c r="K76" s="145"/>
    </row>
    <row r="77" spans="3:11" ht="14.25" hidden="1">
      <c r="C77" s="16"/>
      <c r="D77" s="20"/>
      <c r="E77" s="159"/>
      <c r="F77" s="159"/>
      <c r="G77" s="159"/>
      <c r="H77" s="22">
        <f t="shared" si="0"/>
        <v>3</v>
      </c>
      <c r="J77" s="145"/>
      <c r="K77" s="145"/>
    </row>
    <row r="78" spans="3:11" ht="14.25" hidden="1">
      <c r="C78" s="16"/>
      <c r="D78" s="20"/>
      <c r="E78" s="159"/>
      <c r="F78" s="159"/>
      <c r="G78" s="159"/>
      <c r="H78" s="22">
        <f t="shared" si="0"/>
        <v>3</v>
      </c>
      <c r="J78" s="145"/>
      <c r="K78" s="145"/>
    </row>
    <row r="79" spans="3:11" ht="14.25" hidden="1">
      <c r="C79" s="16"/>
      <c r="D79" s="20"/>
      <c r="E79" s="159"/>
      <c r="F79" s="159"/>
      <c r="G79" s="159"/>
      <c r="H79" s="22">
        <f t="shared" si="0"/>
        <v>3</v>
      </c>
      <c r="J79" s="145"/>
      <c r="K79" s="145"/>
    </row>
    <row r="80" spans="3:11" ht="14.25" hidden="1">
      <c r="C80" s="16"/>
      <c r="D80" s="20"/>
      <c r="E80" s="159"/>
      <c r="F80" s="159"/>
      <c r="G80" s="159"/>
      <c r="H80" s="22">
        <f t="shared" si="0"/>
        <v>3</v>
      </c>
      <c r="J80" s="145"/>
      <c r="K80" s="145"/>
    </row>
    <row r="81" spans="3:11" ht="14.25" hidden="1">
      <c r="C81" s="16"/>
      <c r="D81" s="20"/>
      <c r="E81" s="159"/>
      <c r="F81" s="159"/>
      <c r="G81" s="159"/>
      <c r="H81" s="22">
        <f t="shared" si="0"/>
        <v>3</v>
      </c>
      <c r="J81" s="145"/>
      <c r="K81" s="145"/>
    </row>
    <row r="82" spans="3:11" ht="14.25" hidden="1">
      <c r="C82" s="16"/>
      <c r="D82" s="20"/>
      <c r="E82" s="159"/>
      <c r="F82" s="159"/>
      <c r="G82" s="159"/>
      <c r="H82" s="22">
        <f t="shared" si="0"/>
        <v>3</v>
      </c>
      <c r="J82" s="145"/>
      <c r="K82" s="145"/>
    </row>
    <row r="83" spans="3:11" ht="14.25" hidden="1">
      <c r="C83" s="16"/>
      <c r="D83" s="20"/>
      <c r="E83" s="159"/>
      <c r="F83" s="159"/>
      <c r="G83" s="159"/>
      <c r="H83" s="22">
        <f t="shared" si="0"/>
        <v>3</v>
      </c>
      <c r="J83" s="145"/>
      <c r="K83" s="145"/>
    </row>
    <row r="84" spans="3:11" ht="14.25" hidden="1">
      <c r="C84" s="16"/>
      <c r="D84" s="20"/>
      <c r="E84" s="159"/>
      <c r="F84" s="159"/>
      <c r="G84" s="159"/>
      <c r="H84" s="22">
        <f t="shared" si="0"/>
        <v>3</v>
      </c>
      <c r="J84" s="145"/>
      <c r="K84" s="145"/>
    </row>
    <row r="85" spans="3:11" ht="14.25" hidden="1">
      <c r="C85" s="16"/>
      <c r="D85" s="20"/>
      <c r="E85" s="159"/>
      <c r="F85" s="159"/>
      <c r="G85" s="159"/>
      <c r="H85" s="22">
        <f t="shared" si="0"/>
        <v>3</v>
      </c>
      <c r="J85" s="145"/>
      <c r="K85" s="145"/>
    </row>
    <row r="86" spans="3:11" ht="14.25" hidden="1">
      <c r="C86" s="16"/>
      <c r="D86" s="20"/>
      <c r="E86" s="159"/>
      <c r="F86" s="159"/>
      <c r="G86" s="159"/>
      <c r="H86" s="22">
        <f t="shared" si="0"/>
        <v>3</v>
      </c>
      <c r="J86" s="145"/>
      <c r="K86" s="145"/>
    </row>
    <row r="87" spans="3:11" ht="14.25" hidden="1">
      <c r="C87" s="16"/>
      <c r="D87" s="20"/>
      <c r="E87" s="159"/>
      <c r="F87" s="159"/>
      <c r="G87" s="159"/>
      <c r="H87" s="22">
        <f t="shared" si="0"/>
        <v>3</v>
      </c>
      <c r="J87" s="145"/>
      <c r="K87" s="145"/>
    </row>
    <row r="88" spans="3:11" ht="14.25" hidden="1">
      <c r="C88" s="16"/>
      <c r="D88" s="20"/>
      <c r="E88" s="159"/>
      <c r="F88" s="159"/>
      <c r="G88" s="159"/>
      <c r="H88" s="22">
        <f t="shared" si="0"/>
        <v>3</v>
      </c>
      <c r="J88" s="145"/>
      <c r="K88" s="145"/>
    </row>
    <row r="89" spans="3:11" ht="14.25" hidden="1">
      <c r="C89" s="16"/>
      <c r="D89" s="20"/>
      <c r="E89" s="159"/>
      <c r="F89" s="159"/>
      <c r="G89" s="159"/>
      <c r="H89" s="22">
        <f t="shared" si="0"/>
        <v>3</v>
      </c>
      <c r="J89" s="145"/>
      <c r="K89" s="145"/>
    </row>
    <row r="90" spans="3:11" ht="14.25" hidden="1">
      <c r="C90" s="16"/>
      <c r="D90" s="20"/>
      <c r="E90" s="159"/>
      <c r="F90" s="159"/>
      <c r="G90" s="159"/>
      <c r="H90" s="22">
        <f t="shared" si="0"/>
        <v>3</v>
      </c>
      <c r="J90" s="145"/>
      <c r="K90" s="145"/>
    </row>
    <row r="91" spans="3:11" ht="14.25" hidden="1">
      <c r="C91" s="16"/>
      <c r="D91" s="20"/>
      <c r="E91" s="159"/>
      <c r="F91" s="159"/>
      <c r="G91" s="159"/>
      <c r="H91" s="22">
        <f t="shared" si="0"/>
        <v>3</v>
      </c>
      <c r="J91" s="145"/>
      <c r="K91" s="145"/>
    </row>
    <row r="92" spans="3:11" ht="14.25" hidden="1">
      <c r="C92" s="16"/>
      <c r="D92" s="20"/>
      <c r="E92" s="159"/>
      <c r="F92" s="159"/>
      <c r="G92" s="159"/>
      <c r="H92" s="22">
        <f t="shared" si="0"/>
        <v>3</v>
      </c>
      <c r="J92" s="145"/>
      <c r="K92" s="145"/>
    </row>
    <row r="93" spans="3:11" ht="11.25" customHeight="1" hidden="1">
      <c r="C93" s="16"/>
      <c r="D93" s="20"/>
      <c r="E93" s="159"/>
      <c r="F93" s="159"/>
      <c r="G93" s="159"/>
      <c r="H93" s="22">
        <f t="shared" si="0"/>
        <v>3</v>
      </c>
      <c r="J93" s="145"/>
      <c r="K93" s="145"/>
    </row>
    <row r="94" spans="1:11" ht="15" customHeight="1" hidden="1">
      <c r="A94" s="21" t="s">
        <v>89</v>
      </c>
      <c r="C94" s="16"/>
      <c r="D94" s="20"/>
      <c r="E94" s="159"/>
      <c r="F94" s="159"/>
      <c r="G94" s="159"/>
      <c r="H94" s="22">
        <f t="shared" si="0"/>
        <v>3</v>
      </c>
      <c r="J94" s="30"/>
      <c r="K94" s="145"/>
    </row>
    <row r="95" spans="1:11" ht="14.25">
      <c r="A95" s="21" t="s">
        <v>89</v>
      </c>
      <c r="C95" s="131" t="s">
        <v>159</v>
      </c>
      <c r="D95" s="144" t="s">
        <v>339</v>
      </c>
      <c r="E95" s="159"/>
      <c r="F95" s="159"/>
      <c r="G95" s="159"/>
      <c r="J95" s="145"/>
      <c r="K95" s="145"/>
    </row>
    <row r="96" spans="1:11" ht="30">
      <c r="A96" s="21" t="s">
        <v>89</v>
      </c>
      <c r="C96" s="16" t="s">
        <v>443</v>
      </c>
      <c r="D96" s="20" t="s">
        <v>638</v>
      </c>
      <c r="E96" s="6" t="s">
        <v>82</v>
      </c>
      <c r="F96" s="6" t="s">
        <v>61</v>
      </c>
      <c r="G96" s="6" t="s">
        <v>61</v>
      </c>
      <c r="H96" s="22">
        <f t="shared" si="0"/>
        <v>0</v>
      </c>
      <c r="J96" s="145"/>
      <c r="K96" s="145"/>
    </row>
    <row r="97" spans="3:11" ht="9.75" customHeight="1">
      <c r="C97" s="16" t="s">
        <v>444</v>
      </c>
      <c r="D97" s="20" t="s">
        <v>641</v>
      </c>
      <c r="E97" s="6" t="s">
        <v>74</v>
      </c>
      <c r="F97" s="6" t="s">
        <v>61</v>
      </c>
      <c r="G97" s="6" t="s">
        <v>61</v>
      </c>
      <c r="H97" s="22">
        <f t="shared" si="0"/>
        <v>0</v>
      </c>
      <c r="J97" s="145"/>
      <c r="K97" s="145"/>
    </row>
    <row r="98" spans="3:11" ht="30">
      <c r="C98" s="16" t="s">
        <v>445</v>
      </c>
      <c r="D98" s="20" t="s">
        <v>640</v>
      </c>
      <c r="E98" s="6" t="s">
        <v>79</v>
      </c>
      <c r="F98" s="6" t="s">
        <v>61</v>
      </c>
      <c r="G98" s="6" t="s">
        <v>61</v>
      </c>
      <c r="H98" s="22">
        <f t="shared" si="0"/>
        <v>0</v>
      </c>
      <c r="J98" s="145"/>
      <c r="K98" s="145"/>
    </row>
    <row r="99" spans="3:11" ht="30">
      <c r="C99" s="16" t="s">
        <v>446</v>
      </c>
      <c r="D99" s="20" t="s">
        <v>642</v>
      </c>
      <c r="E99" s="6" t="s">
        <v>83</v>
      </c>
      <c r="F99" s="6" t="s">
        <v>61</v>
      </c>
      <c r="G99" s="6" t="s">
        <v>61</v>
      </c>
      <c r="H99" s="22">
        <f t="shared" si="0"/>
        <v>0</v>
      </c>
      <c r="J99" s="145"/>
      <c r="K99" s="145"/>
    </row>
    <row r="100" spans="3:11" ht="9.75" customHeight="1">
      <c r="C100" s="16" t="s">
        <v>447</v>
      </c>
      <c r="D100" s="20" t="s">
        <v>84</v>
      </c>
      <c r="E100" s="6" t="s">
        <v>65</v>
      </c>
      <c r="F100" s="6" t="s">
        <v>61</v>
      </c>
      <c r="G100" s="6" t="s">
        <v>61</v>
      </c>
      <c r="H100" s="22">
        <f t="shared" si="0"/>
        <v>0</v>
      </c>
      <c r="J100" s="145"/>
      <c r="K100" s="145"/>
    </row>
    <row r="101" spans="3:11" ht="42.75">
      <c r="C101" s="16" t="s">
        <v>534</v>
      </c>
      <c r="D101" s="20" t="s">
        <v>85</v>
      </c>
      <c r="E101" s="159" t="s">
        <v>86</v>
      </c>
      <c r="F101" s="6" t="s">
        <v>61</v>
      </c>
      <c r="G101" s="6" t="s">
        <v>61</v>
      </c>
      <c r="H101" s="22">
        <f t="shared" si="0"/>
        <v>0</v>
      </c>
      <c r="J101" s="145"/>
      <c r="K101" s="145"/>
    </row>
    <row r="102" spans="3:11" ht="14.25">
      <c r="C102" s="16" t="s">
        <v>536</v>
      </c>
      <c r="D102" s="20"/>
      <c r="E102" s="159"/>
      <c r="F102" s="159"/>
      <c r="G102" s="159"/>
      <c r="H102" s="22">
        <f t="shared" si="0"/>
        <v>3</v>
      </c>
      <c r="J102" s="145"/>
      <c r="K102" s="145"/>
    </row>
    <row r="103" spans="3:11" ht="14.25">
      <c r="C103" s="16" t="s">
        <v>537</v>
      </c>
      <c r="D103" s="20"/>
      <c r="E103" s="159"/>
      <c r="F103" s="159"/>
      <c r="G103" s="159"/>
      <c r="H103" s="22">
        <f t="shared" si="0"/>
        <v>3</v>
      </c>
      <c r="J103" s="145"/>
      <c r="K103" s="145"/>
    </row>
    <row r="104" spans="1:11" ht="9" customHeight="1">
      <c r="A104" s="21" t="s">
        <v>89</v>
      </c>
      <c r="C104" s="16" t="s">
        <v>538</v>
      </c>
      <c r="D104" s="20"/>
      <c r="E104" s="159"/>
      <c r="F104" s="159"/>
      <c r="G104" s="159"/>
      <c r="H104" s="22">
        <f t="shared" si="0"/>
        <v>3</v>
      </c>
      <c r="J104" s="30"/>
      <c r="K104" s="145"/>
    </row>
    <row r="105" spans="3:11" ht="11.25" customHeight="1">
      <c r="C105" s="16" t="s">
        <v>539</v>
      </c>
      <c r="D105" s="20"/>
      <c r="E105" s="159"/>
      <c r="F105" s="159"/>
      <c r="G105" s="159"/>
      <c r="H105" s="22">
        <f t="shared" si="0"/>
        <v>3</v>
      </c>
      <c r="J105" s="30"/>
      <c r="K105" s="145"/>
    </row>
    <row r="106" spans="3:8" ht="14.25">
      <c r="C106" s="16" t="s">
        <v>540</v>
      </c>
      <c r="D106" s="20"/>
      <c r="E106" s="159"/>
      <c r="F106" s="159"/>
      <c r="G106" s="159"/>
      <c r="H106" s="22">
        <f t="shared" si="0"/>
        <v>3</v>
      </c>
    </row>
    <row r="107" spans="3:8" ht="14.25">
      <c r="C107" s="16" t="s">
        <v>541</v>
      </c>
      <c r="D107" s="20"/>
      <c r="E107" s="159"/>
      <c r="F107" s="159"/>
      <c r="G107" s="159"/>
      <c r="H107" s="22">
        <f t="shared" si="0"/>
        <v>3</v>
      </c>
    </row>
    <row r="108" spans="3:8" ht="14.25">
      <c r="C108" s="16" t="s">
        <v>542</v>
      </c>
      <c r="D108" s="20"/>
      <c r="E108" s="159"/>
      <c r="F108" s="159"/>
      <c r="G108" s="159"/>
      <c r="H108" s="22">
        <f t="shared" si="0"/>
        <v>3</v>
      </c>
    </row>
    <row r="109" spans="3:8" ht="14.25">
      <c r="C109" s="16" t="s">
        <v>543</v>
      </c>
      <c r="D109" s="20"/>
      <c r="E109" s="159"/>
      <c r="F109" s="159"/>
      <c r="G109" s="159"/>
      <c r="H109" s="22">
        <f t="shared" si="0"/>
        <v>3</v>
      </c>
    </row>
    <row r="110" spans="3:8" ht="14.25">
      <c r="C110" s="16" t="s">
        <v>544</v>
      </c>
      <c r="D110" s="20"/>
      <c r="E110" s="159"/>
      <c r="F110" s="159"/>
      <c r="G110" s="159"/>
      <c r="H110" s="22">
        <f t="shared" si="0"/>
        <v>3</v>
      </c>
    </row>
    <row r="111" spans="3:8" ht="14.25">
      <c r="C111" s="16" t="s">
        <v>545</v>
      </c>
      <c r="D111" s="20"/>
      <c r="E111" s="159"/>
      <c r="F111" s="159"/>
      <c r="G111" s="159"/>
      <c r="H111" s="22">
        <f t="shared" si="0"/>
        <v>3</v>
      </c>
    </row>
    <row r="112" spans="3:8" ht="14.25">
      <c r="C112" s="16" t="s">
        <v>546</v>
      </c>
      <c r="D112" s="20"/>
      <c r="E112" s="159"/>
      <c r="F112" s="159"/>
      <c r="G112" s="159"/>
      <c r="H112" s="22">
        <f t="shared" si="0"/>
        <v>3</v>
      </c>
    </row>
    <row r="113" spans="3:8" ht="14.25">
      <c r="C113" s="16" t="s">
        <v>547</v>
      </c>
      <c r="D113" s="20"/>
      <c r="E113" s="159"/>
      <c r="F113" s="159"/>
      <c r="G113" s="159"/>
      <c r="H113" s="22">
        <f t="shared" si="0"/>
        <v>3</v>
      </c>
    </row>
    <row r="114" spans="3:8" ht="14.25">
      <c r="C114" s="16" t="s">
        <v>548</v>
      </c>
      <c r="D114" s="20"/>
      <c r="E114" s="159"/>
      <c r="F114" s="159"/>
      <c r="G114" s="159"/>
      <c r="H114" s="22">
        <f t="shared" si="0"/>
        <v>3</v>
      </c>
    </row>
    <row r="115" spans="3:8" ht="14.25">
      <c r="C115" s="16" t="s">
        <v>549</v>
      </c>
      <c r="D115" s="20"/>
      <c r="E115" s="159"/>
      <c r="F115" s="159"/>
      <c r="G115" s="159"/>
      <c r="H115" s="22">
        <f t="shared" si="0"/>
        <v>3</v>
      </c>
    </row>
    <row r="116" spans="3:8" ht="14.25">
      <c r="C116" s="16" t="s">
        <v>550</v>
      </c>
      <c r="D116" s="20"/>
      <c r="E116" s="159"/>
      <c r="F116" s="159"/>
      <c r="G116" s="159"/>
      <c r="H116" s="22">
        <f t="shared" si="0"/>
        <v>3</v>
      </c>
    </row>
    <row r="117" spans="3:8" ht="14.25">
      <c r="C117" s="16" t="s">
        <v>551</v>
      </c>
      <c r="D117" s="20"/>
      <c r="E117" s="159"/>
      <c r="F117" s="159"/>
      <c r="G117" s="159"/>
      <c r="H117" s="22">
        <f t="shared" si="0"/>
        <v>3</v>
      </c>
    </row>
    <row r="118" spans="3:8" ht="14.25">
      <c r="C118" s="16" t="s">
        <v>552</v>
      </c>
      <c r="D118" s="20"/>
      <c r="E118" s="159"/>
      <c r="F118" s="159"/>
      <c r="G118" s="159"/>
      <c r="H118" s="22">
        <f t="shared" si="0"/>
        <v>3</v>
      </c>
    </row>
    <row r="119" spans="3:8" ht="14.25">
      <c r="C119" s="16" t="s">
        <v>553</v>
      </c>
      <c r="D119" s="20"/>
      <c r="E119" s="159"/>
      <c r="F119" s="159"/>
      <c r="G119" s="159"/>
      <c r="H119" s="22">
        <f t="shared" si="0"/>
        <v>3</v>
      </c>
    </row>
    <row r="120" spans="3:8" ht="14.25">
      <c r="C120" s="16" t="s">
        <v>554</v>
      </c>
      <c r="D120" s="20"/>
      <c r="E120" s="159"/>
      <c r="F120" s="159"/>
      <c r="G120" s="159"/>
      <c r="H120" s="22">
        <f t="shared" si="0"/>
        <v>3</v>
      </c>
    </row>
    <row r="121" spans="3:8" ht="14.25">
      <c r="C121" s="16" t="s">
        <v>555</v>
      </c>
      <c r="D121" s="20"/>
      <c r="E121" s="159"/>
      <c r="F121" s="159"/>
      <c r="G121" s="159"/>
      <c r="H121" s="22">
        <f t="shared" si="0"/>
        <v>3</v>
      </c>
    </row>
    <row r="122" spans="3:8" ht="14.25">
      <c r="C122" s="16" t="s">
        <v>556</v>
      </c>
      <c r="D122" s="20"/>
      <c r="E122" s="159"/>
      <c r="F122" s="159"/>
      <c r="G122" s="159"/>
      <c r="H122" s="22">
        <f t="shared" si="0"/>
        <v>3</v>
      </c>
    </row>
    <row r="123" spans="3:8" ht="14.25">
      <c r="C123" s="16" t="s">
        <v>557</v>
      </c>
      <c r="D123" s="20"/>
      <c r="E123" s="159"/>
      <c r="F123" s="159"/>
      <c r="G123" s="159"/>
      <c r="H123" s="22">
        <f t="shared" si="0"/>
        <v>3</v>
      </c>
    </row>
    <row r="124" spans="3:8" ht="14.25">
      <c r="C124" s="16" t="s">
        <v>558</v>
      </c>
      <c r="D124" s="20"/>
      <c r="E124" s="159"/>
      <c r="F124" s="159"/>
      <c r="G124" s="159"/>
      <c r="H124" s="22">
        <f t="shared" si="0"/>
        <v>3</v>
      </c>
    </row>
    <row r="125" spans="3:8" ht="14.25">
      <c r="C125" s="16" t="s">
        <v>559</v>
      </c>
      <c r="D125" s="20"/>
      <c r="E125" s="159"/>
      <c r="F125" s="159"/>
      <c r="G125" s="159"/>
      <c r="H125" s="22">
        <f t="shared" si="0"/>
        <v>3</v>
      </c>
    </row>
    <row r="126" spans="3:8" ht="14.25">
      <c r="C126" s="16" t="s">
        <v>560</v>
      </c>
      <c r="D126" s="20"/>
      <c r="E126" s="159"/>
      <c r="F126" s="159"/>
      <c r="G126" s="159"/>
      <c r="H126" s="22">
        <f aca="true" t="shared" si="1" ref="H126:H191">COUNTBLANK(E126:G126)</f>
        <v>3</v>
      </c>
    </row>
    <row r="127" spans="3:8" ht="14.25">
      <c r="C127" s="16" t="s">
        <v>561</v>
      </c>
      <c r="D127" s="20"/>
      <c r="E127" s="159"/>
      <c r="F127" s="159"/>
      <c r="G127" s="159"/>
      <c r="H127" s="22">
        <f t="shared" si="1"/>
        <v>3</v>
      </c>
    </row>
    <row r="128" spans="3:8" ht="14.25">
      <c r="C128" s="16" t="s">
        <v>562</v>
      </c>
      <c r="D128" s="20"/>
      <c r="E128" s="159"/>
      <c r="F128" s="159"/>
      <c r="G128" s="159"/>
      <c r="H128" s="22">
        <f t="shared" si="1"/>
        <v>3</v>
      </c>
    </row>
    <row r="129" spans="3:8" ht="14.25">
      <c r="C129" s="16" t="s">
        <v>563</v>
      </c>
      <c r="D129" s="20"/>
      <c r="E129" s="159"/>
      <c r="F129" s="159"/>
      <c r="G129" s="159"/>
      <c r="H129" s="22">
        <f t="shared" si="1"/>
        <v>3</v>
      </c>
    </row>
    <row r="130" spans="3:8" ht="14.25">
      <c r="C130" s="16" t="s">
        <v>564</v>
      </c>
      <c r="D130" s="20"/>
      <c r="E130" s="159"/>
      <c r="F130" s="159"/>
      <c r="G130" s="159"/>
      <c r="H130" s="22">
        <f t="shared" si="1"/>
        <v>3</v>
      </c>
    </row>
    <row r="131" spans="3:8" ht="14.25">
      <c r="C131" s="16" t="s">
        <v>565</v>
      </c>
      <c r="D131" s="20"/>
      <c r="E131" s="159"/>
      <c r="F131" s="159"/>
      <c r="G131" s="159"/>
      <c r="H131" s="22">
        <f t="shared" si="1"/>
        <v>3</v>
      </c>
    </row>
    <row r="132" spans="3:8" ht="14.25">
      <c r="C132" s="16" t="s">
        <v>566</v>
      </c>
      <c r="D132" s="20"/>
      <c r="E132" s="159"/>
      <c r="F132" s="159"/>
      <c r="G132" s="159"/>
      <c r="H132" s="22">
        <f t="shared" si="1"/>
        <v>3</v>
      </c>
    </row>
    <row r="133" spans="3:8" ht="14.25">
      <c r="C133" s="16" t="s">
        <v>567</v>
      </c>
      <c r="D133" s="20"/>
      <c r="E133" s="159"/>
      <c r="F133" s="159"/>
      <c r="G133" s="159"/>
      <c r="H133" s="22">
        <f t="shared" si="1"/>
        <v>3</v>
      </c>
    </row>
    <row r="134" spans="3:8" ht="14.25">
      <c r="C134" s="16" t="s">
        <v>568</v>
      </c>
      <c r="D134" s="20"/>
      <c r="E134" s="159"/>
      <c r="F134" s="159"/>
      <c r="G134" s="159"/>
      <c r="H134" s="22">
        <f t="shared" si="1"/>
        <v>3</v>
      </c>
    </row>
    <row r="135" spans="3:8" ht="14.25">
      <c r="C135" s="16" t="s">
        <v>569</v>
      </c>
      <c r="D135" s="20"/>
      <c r="E135" s="159"/>
      <c r="F135" s="159"/>
      <c r="G135" s="159"/>
      <c r="H135" s="22">
        <f t="shared" si="1"/>
        <v>3</v>
      </c>
    </row>
    <row r="136" spans="3:8" ht="14.25">
      <c r="C136" s="16" t="s">
        <v>570</v>
      </c>
      <c r="D136" s="20"/>
      <c r="E136" s="159"/>
      <c r="F136" s="159"/>
      <c r="G136" s="159"/>
      <c r="H136" s="22">
        <f t="shared" si="1"/>
        <v>3</v>
      </c>
    </row>
    <row r="137" spans="3:8" ht="14.25">
      <c r="C137" s="16" t="s">
        <v>571</v>
      </c>
      <c r="D137" s="20"/>
      <c r="E137" s="159"/>
      <c r="F137" s="159"/>
      <c r="G137" s="159"/>
      <c r="H137" s="22">
        <f t="shared" si="1"/>
        <v>3</v>
      </c>
    </row>
    <row r="138" spans="3:8" ht="14.25">
      <c r="C138" s="16" t="s">
        <v>572</v>
      </c>
      <c r="D138" s="20"/>
      <c r="E138" s="159"/>
      <c r="F138" s="159"/>
      <c r="G138" s="159"/>
      <c r="H138" s="22">
        <f t="shared" si="1"/>
        <v>3</v>
      </c>
    </row>
    <row r="139" spans="3:8" ht="14.25">
      <c r="C139" s="16" t="s">
        <v>573</v>
      </c>
      <c r="D139" s="20"/>
      <c r="E139" s="159"/>
      <c r="F139" s="159"/>
      <c r="G139" s="159"/>
      <c r="H139" s="22">
        <f t="shared" si="1"/>
        <v>3</v>
      </c>
    </row>
    <row r="140" spans="3:8" ht="14.25">
      <c r="C140" s="16" t="s">
        <v>574</v>
      </c>
      <c r="D140" s="20"/>
      <c r="E140" s="159"/>
      <c r="F140" s="159"/>
      <c r="G140" s="159"/>
      <c r="H140" s="22">
        <f t="shared" si="1"/>
        <v>3</v>
      </c>
    </row>
    <row r="141" spans="3:8" ht="14.25">
      <c r="C141" s="16" t="s">
        <v>575</v>
      </c>
      <c r="D141" s="20"/>
      <c r="E141" s="159"/>
      <c r="F141" s="159"/>
      <c r="G141" s="159"/>
      <c r="H141" s="22">
        <f t="shared" si="1"/>
        <v>3</v>
      </c>
    </row>
    <row r="142" spans="3:8" ht="14.25">
      <c r="C142" s="16" t="s">
        <v>576</v>
      </c>
      <c r="D142" s="20"/>
      <c r="E142" s="159"/>
      <c r="F142" s="159"/>
      <c r="G142" s="159"/>
      <c r="H142" s="22">
        <f t="shared" si="1"/>
        <v>3</v>
      </c>
    </row>
    <row r="143" spans="3:8" ht="14.25">
      <c r="C143" s="16" t="s">
        <v>577</v>
      </c>
      <c r="D143" s="20"/>
      <c r="E143" s="159"/>
      <c r="F143" s="159"/>
      <c r="G143" s="159"/>
      <c r="H143" s="22">
        <f t="shared" si="1"/>
        <v>3</v>
      </c>
    </row>
    <row r="144" spans="3:8" ht="14.25">
      <c r="C144" s="16" t="s">
        <v>578</v>
      </c>
      <c r="D144" s="20"/>
      <c r="E144" s="159"/>
      <c r="F144" s="159"/>
      <c r="G144" s="159"/>
      <c r="H144" s="22">
        <f t="shared" si="1"/>
        <v>3</v>
      </c>
    </row>
    <row r="145" spans="3:8" ht="14.25">
      <c r="C145" s="16" t="s">
        <v>535</v>
      </c>
      <c r="D145" s="20"/>
      <c r="E145" s="159"/>
      <c r="F145" s="159"/>
      <c r="G145" s="159"/>
      <c r="H145" s="22">
        <f t="shared" si="1"/>
        <v>3</v>
      </c>
    </row>
    <row r="146" spans="3:8" ht="14.25">
      <c r="C146" s="16" t="s">
        <v>579</v>
      </c>
      <c r="D146" s="20"/>
      <c r="E146" s="159"/>
      <c r="F146" s="159"/>
      <c r="G146" s="159"/>
      <c r="H146" s="22">
        <f t="shared" si="1"/>
        <v>3</v>
      </c>
    </row>
    <row r="147" spans="3:8" ht="14.25">
      <c r="C147" s="16" t="s">
        <v>580</v>
      </c>
      <c r="D147" s="20"/>
      <c r="E147" s="159"/>
      <c r="F147" s="159"/>
      <c r="G147" s="159"/>
      <c r="H147" s="22">
        <f t="shared" si="1"/>
        <v>3</v>
      </c>
    </row>
    <row r="148" spans="3:8" ht="14.25">
      <c r="C148" s="16" t="s">
        <v>581</v>
      </c>
      <c r="D148" s="20"/>
      <c r="E148" s="159"/>
      <c r="F148" s="159"/>
      <c r="G148" s="159"/>
      <c r="H148" s="22">
        <f t="shared" si="1"/>
        <v>3</v>
      </c>
    </row>
    <row r="149" spans="3:8" ht="14.25">
      <c r="C149" s="16" t="s">
        <v>533</v>
      </c>
      <c r="D149" s="20"/>
      <c r="E149" s="159"/>
      <c r="F149" s="159"/>
      <c r="G149" s="159"/>
      <c r="H149" s="22">
        <f t="shared" si="1"/>
        <v>3</v>
      </c>
    </row>
    <row r="150" spans="3:8" ht="14.25">
      <c r="C150" s="16" t="s">
        <v>532</v>
      </c>
      <c r="D150" s="20"/>
      <c r="E150" s="159"/>
      <c r="F150" s="159"/>
      <c r="G150" s="159"/>
      <c r="H150" s="22">
        <f t="shared" si="1"/>
        <v>3</v>
      </c>
    </row>
    <row r="151" spans="3:8" ht="14.25">
      <c r="C151" s="16" t="s">
        <v>531</v>
      </c>
      <c r="D151" s="20"/>
      <c r="E151" s="159"/>
      <c r="F151" s="159"/>
      <c r="G151" s="159"/>
      <c r="H151" s="22">
        <f t="shared" si="1"/>
        <v>3</v>
      </c>
    </row>
    <row r="152" spans="3:8" ht="14.25">
      <c r="C152" s="16" t="s">
        <v>530</v>
      </c>
      <c r="D152" s="20"/>
      <c r="E152" s="159"/>
      <c r="F152" s="159"/>
      <c r="G152" s="159"/>
      <c r="H152" s="22">
        <f t="shared" si="1"/>
        <v>3</v>
      </c>
    </row>
    <row r="153" spans="3:8" ht="9.75" hidden="1">
      <c r="C153" s="16" t="s">
        <v>285</v>
      </c>
      <c r="D153" s="20"/>
      <c r="E153" s="31"/>
      <c r="F153" s="31"/>
      <c r="G153" s="31"/>
      <c r="H153" s="22">
        <f t="shared" si="1"/>
        <v>3</v>
      </c>
    </row>
    <row r="154" spans="3:8" ht="9.75" hidden="1">
      <c r="C154" s="16"/>
      <c r="D154" s="20"/>
      <c r="E154" s="31"/>
      <c r="F154" s="31"/>
      <c r="G154" s="31"/>
      <c r="H154" s="22">
        <f t="shared" si="1"/>
        <v>3</v>
      </c>
    </row>
    <row r="155" spans="3:8" ht="9.75" hidden="1">
      <c r="C155" s="16"/>
      <c r="D155" s="20"/>
      <c r="E155" s="31"/>
      <c r="F155" s="31"/>
      <c r="G155" s="31"/>
      <c r="H155" s="22">
        <f t="shared" si="1"/>
        <v>3</v>
      </c>
    </row>
    <row r="156" spans="3:8" ht="9.75" hidden="1">
      <c r="C156" s="16"/>
      <c r="D156" s="20"/>
      <c r="E156" s="31"/>
      <c r="F156" s="31"/>
      <c r="G156" s="31"/>
      <c r="H156" s="22">
        <f t="shared" si="1"/>
        <v>3</v>
      </c>
    </row>
    <row r="157" spans="3:8" ht="9.75" hidden="1">
      <c r="C157" s="16"/>
      <c r="D157" s="20"/>
      <c r="E157" s="31"/>
      <c r="F157" s="31"/>
      <c r="G157" s="31"/>
      <c r="H157" s="22">
        <f t="shared" si="1"/>
        <v>3</v>
      </c>
    </row>
    <row r="158" spans="3:8" ht="9.75" hidden="1">
      <c r="C158" s="16"/>
      <c r="D158" s="20"/>
      <c r="E158" s="31"/>
      <c r="F158" s="31"/>
      <c r="G158" s="31"/>
      <c r="H158" s="22">
        <f t="shared" si="1"/>
        <v>3</v>
      </c>
    </row>
    <row r="159" spans="3:8" ht="9.75" hidden="1">
      <c r="C159" s="16"/>
      <c r="D159" s="20"/>
      <c r="E159" s="31"/>
      <c r="F159" s="31"/>
      <c r="G159" s="31"/>
      <c r="H159" s="22">
        <f t="shared" si="1"/>
        <v>3</v>
      </c>
    </row>
    <row r="160" spans="3:8" ht="9.75" hidden="1">
      <c r="C160" s="16"/>
      <c r="D160" s="20"/>
      <c r="E160" s="31"/>
      <c r="F160" s="31"/>
      <c r="G160" s="31"/>
      <c r="H160" s="22">
        <f t="shared" si="1"/>
        <v>3</v>
      </c>
    </row>
    <row r="161" spans="3:8" ht="9.75" hidden="1">
      <c r="C161" s="16"/>
      <c r="D161" s="20"/>
      <c r="E161" s="31"/>
      <c r="F161" s="31"/>
      <c r="G161" s="31"/>
      <c r="H161" s="22">
        <f t="shared" si="1"/>
        <v>3</v>
      </c>
    </row>
    <row r="162" spans="3:8" ht="9.75" hidden="1">
      <c r="C162" s="16"/>
      <c r="D162" s="20"/>
      <c r="E162" s="31"/>
      <c r="F162" s="31"/>
      <c r="G162" s="31"/>
      <c r="H162" s="22">
        <f t="shared" si="1"/>
        <v>3</v>
      </c>
    </row>
    <row r="163" spans="3:8" ht="9.75" hidden="1">
      <c r="C163" s="16"/>
      <c r="D163" s="20"/>
      <c r="E163" s="31"/>
      <c r="F163" s="31"/>
      <c r="G163" s="31"/>
      <c r="H163" s="22">
        <f t="shared" si="1"/>
        <v>3</v>
      </c>
    </row>
    <row r="164" spans="3:8" ht="9.75" hidden="1">
      <c r="C164" s="16"/>
      <c r="D164" s="20"/>
      <c r="E164" s="31"/>
      <c r="F164" s="31"/>
      <c r="G164" s="31"/>
      <c r="H164" s="22">
        <f t="shared" si="1"/>
        <v>3</v>
      </c>
    </row>
    <row r="165" spans="3:8" ht="9.75" hidden="1">
      <c r="C165" s="16"/>
      <c r="D165" s="20"/>
      <c r="E165" s="31"/>
      <c r="F165" s="31"/>
      <c r="G165" s="31"/>
      <c r="H165" s="22">
        <f t="shared" si="1"/>
        <v>3</v>
      </c>
    </row>
    <row r="166" spans="3:8" ht="9.75" hidden="1">
      <c r="C166" s="16"/>
      <c r="D166" s="20"/>
      <c r="E166" s="31"/>
      <c r="F166" s="31"/>
      <c r="G166" s="31"/>
      <c r="H166" s="22">
        <f t="shared" si="1"/>
        <v>3</v>
      </c>
    </row>
    <row r="167" spans="3:8" ht="9.75" hidden="1">
      <c r="C167" s="16"/>
      <c r="D167" s="20"/>
      <c r="E167" s="31"/>
      <c r="F167" s="31"/>
      <c r="G167" s="31"/>
      <c r="H167" s="22">
        <f t="shared" si="1"/>
        <v>3</v>
      </c>
    </row>
    <row r="168" spans="3:8" ht="9.75" hidden="1">
      <c r="C168" s="16"/>
      <c r="D168" s="20"/>
      <c r="E168" s="31"/>
      <c r="F168" s="31"/>
      <c r="G168" s="31"/>
      <c r="H168" s="22">
        <f t="shared" si="1"/>
        <v>3</v>
      </c>
    </row>
    <row r="169" spans="3:8" ht="9.75" hidden="1">
      <c r="C169" s="16"/>
      <c r="D169" s="20"/>
      <c r="E169" s="31"/>
      <c r="F169" s="31"/>
      <c r="G169" s="31"/>
      <c r="H169" s="22">
        <f t="shared" si="1"/>
        <v>3</v>
      </c>
    </row>
    <row r="170" spans="3:8" ht="9.75" hidden="1">
      <c r="C170" s="16"/>
      <c r="D170" s="20"/>
      <c r="E170" s="31"/>
      <c r="F170" s="31"/>
      <c r="G170" s="31"/>
      <c r="H170" s="22">
        <f t="shared" si="1"/>
        <v>3</v>
      </c>
    </row>
    <row r="171" spans="3:8" ht="9.75" hidden="1">
      <c r="C171" s="16"/>
      <c r="D171" s="20"/>
      <c r="E171" s="31"/>
      <c r="F171" s="31"/>
      <c r="G171" s="31"/>
      <c r="H171" s="22">
        <f t="shared" si="1"/>
        <v>3</v>
      </c>
    </row>
    <row r="172" spans="3:8" ht="9.75" hidden="1">
      <c r="C172" s="16"/>
      <c r="D172" s="20"/>
      <c r="E172" s="31"/>
      <c r="F172" s="31"/>
      <c r="G172" s="31"/>
      <c r="H172" s="22">
        <f t="shared" si="1"/>
        <v>3</v>
      </c>
    </row>
    <row r="173" spans="3:8" ht="9.75" hidden="1">
      <c r="C173" s="16"/>
      <c r="D173" s="20"/>
      <c r="E173" s="31"/>
      <c r="F173" s="31"/>
      <c r="G173" s="31"/>
      <c r="H173" s="22">
        <f t="shared" si="1"/>
        <v>3</v>
      </c>
    </row>
    <row r="174" spans="3:8" ht="9.75" hidden="1">
      <c r="C174" s="16"/>
      <c r="D174" s="20"/>
      <c r="E174" s="31"/>
      <c r="F174" s="31"/>
      <c r="G174" s="31"/>
      <c r="H174" s="22">
        <f t="shared" si="1"/>
        <v>3</v>
      </c>
    </row>
    <row r="175" spans="3:8" ht="9.75" hidden="1">
      <c r="C175" s="16"/>
      <c r="D175" s="20"/>
      <c r="E175" s="31"/>
      <c r="F175" s="31"/>
      <c r="G175" s="31"/>
      <c r="H175" s="22">
        <f t="shared" si="1"/>
        <v>3</v>
      </c>
    </row>
    <row r="176" spans="3:8" ht="9.75" hidden="1">
      <c r="C176" s="16"/>
      <c r="D176" s="20"/>
      <c r="E176" s="31"/>
      <c r="F176" s="31"/>
      <c r="G176" s="31"/>
      <c r="H176" s="22">
        <f t="shared" si="1"/>
        <v>3</v>
      </c>
    </row>
    <row r="177" spans="3:8" ht="9.75" hidden="1">
      <c r="C177" s="16"/>
      <c r="D177" s="20"/>
      <c r="E177" s="31"/>
      <c r="F177" s="31"/>
      <c r="G177" s="31"/>
      <c r="H177" s="22">
        <f t="shared" si="1"/>
        <v>3</v>
      </c>
    </row>
    <row r="178" spans="3:8" ht="9.75" hidden="1">
      <c r="C178" s="16"/>
      <c r="D178" s="20"/>
      <c r="E178" s="31"/>
      <c r="F178" s="31"/>
      <c r="G178" s="31"/>
      <c r="H178" s="22">
        <f t="shared" si="1"/>
        <v>3</v>
      </c>
    </row>
    <row r="179" spans="3:8" ht="9.75" hidden="1">
      <c r="C179" s="16"/>
      <c r="D179" s="20"/>
      <c r="E179" s="31"/>
      <c r="F179" s="31"/>
      <c r="G179" s="31"/>
      <c r="H179" s="22">
        <f t="shared" si="1"/>
        <v>3</v>
      </c>
    </row>
    <row r="180" spans="3:8" ht="9.75" hidden="1">
      <c r="C180" s="16"/>
      <c r="D180" s="20"/>
      <c r="E180" s="31"/>
      <c r="F180" s="31"/>
      <c r="G180" s="31"/>
      <c r="H180" s="22">
        <f t="shared" si="1"/>
        <v>3</v>
      </c>
    </row>
    <row r="181" spans="3:8" ht="9.75" hidden="1">
      <c r="C181" s="16"/>
      <c r="D181" s="20"/>
      <c r="E181" s="31"/>
      <c r="F181" s="31"/>
      <c r="G181" s="31"/>
      <c r="H181" s="22">
        <f t="shared" si="1"/>
        <v>3</v>
      </c>
    </row>
    <row r="182" spans="3:8" ht="9.75" hidden="1">
      <c r="C182" s="16"/>
      <c r="D182" s="20"/>
      <c r="E182" s="31"/>
      <c r="F182" s="31"/>
      <c r="G182" s="31"/>
      <c r="H182" s="22">
        <f t="shared" si="1"/>
        <v>3</v>
      </c>
    </row>
    <row r="183" spans="3:8" ht="9.75" hidden="1">
      <c r="C183" s="16"/>
      <c r="D183" s="20"/>
      <c r="E183" s="31"/>
      <c r="F183" s="31"/>
      <c r="G183" s="31"/>
      <c r="H183" s="22">
        <f t="shared" si="1"/>
        <v>3</v>
      </c>
    </row>
    <row r="184" spans="3:8" ht="9.75" hidden="1">
      <c r="C184" s="16"/>
      <c r="D184" s="20"/>
      <c r="E184" s="31"/>
      <c r="F184" s="31"/>
      <c r="G184" s="31"/>
      <c r="H184" s="22">
        <f t="shared" si="1"/>
        <v>3</v>
      </c>
    </row>
    <row r="185" spans="3:8" ht="9.75" hidden="1">
      <c r="C185" s="16"/>
      <c r="D185" s="20"/>
      <c r="E185" s="31"/>
      <c r="F185" s="31"/>
      <c r="G185" s="31"/>
      <c r="H185" s="22">
        <f t="shared" si="1"/>
        <v>3</v>
      </c>
    </row>
    <row r="186" spans="3:8" ht="9.75" hidden="1">
      <c r="C186" s="16"/>
      <c r="D186" s="20"/>
      <c r="E186" s="31"/>
      <c r="F186" s="31"/>
      <c r="G186" s="31"/>
      <c r="H186" s="22">
        <f t="shared" si="1"/>
        <v>3</v>
      </c>
    </row>
    <row r="187" spans="3:8" ht="9.75" hidden="1">
      <c r="C187" s="16"/>
      <c r="D187" s="20"/>
      <c r="E187" s="31"/>
      <c r="F187" s="31"/>
      <c r="G187" s="31"/>
      <c r="H187" s="22">
        <f t="shared" si="1"/>
        <v>3</v>
      </c>
    </row>
    <row r="188" spans="3:8" ht="9.75" hidden="1">
      <c r="C188" s="16"/>
      <c r="D188" s="20"/>
      <c r="E188" s="31"/>
      <c r="F188" s="31"/>
      <c r="G188" s="31"/>
      <c r="H188" s="22">
        <f t="shared" si="1"/>
        <v>3</v>
      </c>
    </row>
    <row r="189" spans="3:8" ht="9.75" hidden="1">
      <c r="C189" s="16"/>
      <c r="D189" s="20"/>
      <c r="E189" s="31"/>
      <c r="F189" s="31"/>
      <c r="G189" s="31"/>
      <c r="H189" s="22">
        <f t="shared" si="1"/>
        <v>3</v>
      </c>
    </row>
    <row r="190" spans="3:8" ht="9.75" hidden="1">
      <c r="C190" s="16"/>
      <c r="D190" s="20"/>
      <c r="E190" s="31"/>
      <c r="F190" s="31"/>
      <c r="G190" s="31"/>
      <c r="H190" s="22">
        <f t="shared" si="1"/>
        <v>3</v>
      </c>
    </row>
    <row r="191" spans="3:8" ht="9.75" hidden="1">
      <c r="C191" s="16" t="s">
        <v>285</v>
      </c>
      <c r="D191" s="20"/>
      <c r="E191" s="31"/>
      <c r="F191" s="31"/>
      <c r="G191" s="31"/>
      <c r="H191" s="22">
        <f t="shared" si="1"/>
        <v>3</v>
      </c>
    </row>
    <row r="193" spans="3:5" ht="10.5" thickBot="1">
      <c r="C193" s="106" t="s">
        <v>90</v>
      </c>
      <c r="D193" s="106"/>
      <c r="E193" s="106"/>
    </row>
    <row r="195" spans="3:5" ht="9.75">
      <c r="C195" s="185">
        <f>IF(E6="","Индикатор не может быть посчитан: деление на ноль либо отсутствуют данные для его расчета","")</f>
      </c>
      <c r="D195" s="185"/>
      <c r="E195" s="185"/>
    </row>
    <row r="197" spans="1:6" s="107" customFormat="1" ht="38.25" customHeight="1">
      <c r="A197" s="143"/>
      <c r="C197" s="107" t="s">
        <v>147</v>
      </c>
      <c r="D197" s="186" t="s">
        <v>377</v>
      </c>
      <c r="E197" s="186"/>
      <c r="F197" s="128"/>
    </row>
    <row r="198" spans="3:5" ht="31.5" customHeight="1">
      <c r="C198" s="107" t="s">
        <v>155</v>
      </c>
      <c r="D198" s="186" t="s">
        <v>378</v>
      </c>
      <c r="E198" s="186"/>
    </row>
    <row r="199" spans="3:5" ht="40.5" customHeight="1">
      <c r="C199" s="107" t="s">
        <v>156</v>
      </c>
      <c r="D199" s="186" t="s">
        <v>260</v>
      </c>
      <c r="E199" s="186"/>
    </row>
    <row r="200" spans="3:5" ht="9.75">
      <c r="C200" s="107" t="s">
        <v>159</v>
      </c>
      <c r="D200" s="186" t="s">
        <v>163</v>
      </c>
      <c r="E200" s="186"/>
    </row>
    <row r="201" spans="3:5" ht="36.75" customHeight="1">
      <c r="C201" s="107" t="s">
        <v>297</v>
      </c>
      <c r="D201" s="186" t="s">
        <v>584</v>
      </c>
      <c r="E201" s="186"/>
    </row>
  </sheetData>
  <sheetProtection password="CF7A" sheet="1" objects="1" scenarios="1"/>
  <mergeCells count="7">
    <mergeCell ref="C2:G2"/>
    <mergeCell ref="D200:E200"/>
    <mergeCell ref="D201:E201"/>
    <mergeCell ref="C195:E195"/>
    <mergeCell ref="D197:E197"/>
    <mergeCell ref="D198:E198"/>
    <mergeCell ref="D199:E199"/>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G17"/>
  <sheetViews>
    <sheetView zoomScale="80" zoomScaleNormal="80" zoomScalePageLayoutView="0" workbookViewId="0" topLeftCell="D1">
      <selection activeCell="D15" sqref="D15:E15"/>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2.00390625" style="22" customWidth="1"/>
    <col min="6" max="6" width="1.421875" style="1" customWidth="1"/>
    <col min="7" max="7" width="76.57421875" style="22" bestFit="1" customWidth="1"/>
    <col min="8" max="16384" width="9.28125" style="22" customWidth="1"/>
  </cols>
  <sheetData>
    <row r="1" spans="1:3" ht="9.75">
      <c r="A1" s="54" t="s">
        <v>89</v>
      </c>
      <c r="C1" s="55"/>
    </row>
    <row r="2" spans="1:5" ht="27" customHeight="1" thickBot="1">
      <c r="A2" s="54" t="s">
        <v>89</v>
      </c>
      <c r="C2" s="184" t="s">
        <v>236</v>
      </c>
      <c r="D2" s="184"/>
      <c r="E2" s="184"/>
    </row>
    <row r="3" spans="1:7" s="67" customFormat="1" ht="9.75">
      <c r="A3" s="62" t="s">
        <v>89</v>
      </c>
      <c r="C3" s="64"/>
      <c r="D3" s="96" t="s">
        <v>169</v>
      </c>
      <c r="E3" s="129"/>
      <c r="F3" s="2"/>
      <c r="G3" s="22"/>
    </row>
    <row r="4" spans="1:5" ht="49.5" customHeight="1">
      <c r="A4" s="21" t="s">
        <v>92</v>
      </c>
      <c r="C4" s="99" t="s">
        <v>142</v>
      </c>
      <c r="D4" s="100" t="s">
        <v>350</v>
      </c>
      <c r="E4" s="101" t="s">
        <v>166</v>
      </c>
    </row>
    <row r="5" spans="1:7" ht="57" customHeight="1">
      <c r="A5" s="21" t="s">
        <v>89</v>
      </c>
      <c r="C5" s="32" t="s">
        <v>164</v>
      </c>
      <c r="D5" s="136" t="s">
        <v>349</v>
      </c>
      <c r="E5" s="166" t="s">
        <v>822</v>
      </c>
      <c r="F5" s="5">
        <f>COUNTBLANK(E5:E6)</f>
        <v>0</v>
      </c>
      <c r="G5" s="81"/>
    </row>
    <row r="6" spans="3:7" ht="41.25" thickBot="1">
      <c r="C6" s="32" t="s">
        <v>160</v>
      </c>
      <c r="D6" s="136" t="s">
        <v>268</v>
      </c>
      <c r="E6" s="166" t="s">
        <v>87</v>
      </c>
      <c r="G6" s="81"/>
    </row>
    <row r="7" ht="10.5" thickBot="1">
      <c r="E7" s="7" t="str">
        <f>+IF(F5="","",(IF(F5=0,"да","нет")))</f>
        <v>да</v>
      </c>
    </row>
    <row r="8" spans="3:5" ht="10.5" thickBot="1">
      <c r="C8" s="106" t="s">
        <v>90</v>
      </c>
      <c r="D8" s="106"/>
      <c r="E8" s="106"/>
    </row>
    <row r="10" spans="3:5" ht="9.75">
      <c r="C10" s="185"/>
      <c r="D10" s="185"/>
      <c r="E10" s="185"/>
    </row>
    <row r="12" spans="1:6" s="107" customFormat="1" ht="24.75" customHeight="1">
      <c r="A12" s="143"/>
      <c r="C12" s="107" t="s">
        <v>147</v>
      </c>
      <c r="D12" s="186" t="s">
        <v>260</v>
      </c>
      <c r="E12" s="186"/>
      <c r="F12" s="4"/>
    </row>
    <row r="13" spans="1:6" s="107" customFormat="1" ht="15" customHeight="1">
      <c r="A13" s="143"/>
      <c r="C13" s="107" t="s">
        <v>154</v>
      </c>
      <c r="D13" s="186" t="s">
        <v>163</v>
      </c>
      <c r="E13" s="186"/>
      <c r="F13" s="4"/>
    </row>
    <row r="14" spans="3:5" ht="26.25" customHeight="1">
      <c r="C14" s="107" t="s">
        <v>155</v>
      </c>
      <c r="D14" s="186" t="s">
        <v>167</v>
      </c>
      <c r="E14" s="186"/>
    </row>
    <row r="15" spans="3:5" ht="22.5" customHeight="1">
      <c r="C15" s="107" t="s">
        <v>156</v>
      </c>
      <c r="D15" s="186" t="s">
        <v>583</v>
      </c>
      <c r="E15" s="186"/>
    </row>
    <row r="16" ht="18" customHeight="1">
      <c r="C16" s="107"/>
    </row>
    <row r="17" ht="24.75" customHeight="1">
      <c r="C17" s="107"/>
    </row>
    <row r="33" ht="30" customHeight="1"/>
    <row r="34" ht="27.75" customHeight="1"/>
    <row r="35" ht="24" customHeight="1"/>
    <row r="36" ht="23.25" customHeight="1"/>
    <row r="37" ht="18" customHeight="1"/>
    <row r="38" ht="10.5" customHeight="1"/>
  </sheetData>
  <sheetProtection password="CF7A" sheet="1" objects="1" scenarios="1"/>
  <mergeCells count="6">
    <mergeCell ref="D15:E15"/>
    <mergeCell ref="C2:E2"/>
    <mergeCell ref="C10:E10"/>
    <mergeCell ref="D12:E12"/>
    <mergeCell ref="D13:E13"/>
    <mergeCell ref="D14:E14"/>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G17"/>
  <sheetViews>
    <sheetView zoomScale="79" zoomScaleNormal="79" zoomScalePageLayoutView="0" workbookViewId="0" topLeftCell="D1">
      <selection activeCell="E6" sqref="E6"/>
    </sheetView>
  </sheetViews>
  <sheetFormatPr defaultColWidth="9.28125" defaultRowHeight="15"/>
  <cols>
    <col min="1" max="1" width="4.421875" style="21" hidden="1" customWidth="1"/>
    <col min="2" max="2" width="1.421875" style="22" customWidth="1"/>
    <col min="3" max="3" width="6.421875" style="22" customWidth="1"/>
    <col min="4" max="4" width="42.7109375" style="22" customWidth="1"/>
    <col min="5" max="5" width="96.421875" style="22" customWidth="1"/>
    <col min="6" max="6" width="0.71875" style="1" customWidth="1"/>
    <col min="7" max="7" width="76.57421875" style="22" bestFit="1" customWidth="1"/>
    <col min="8" max="16384" width="9.28125" style="22" customWidth="1"/>
  </cols>
  <sheetData>
    <row r="1" spans="1:3" ht="9.75">
      <c r="A1" s="54" t="s">
        <v>89</v>
      </c>
      <c r="C1" s="55"/>
    </row>
    <row r="2" spans="1:5" ht="27" customHeight="1" thickBot="1">
      <c r="A2" s="54" t="s">
        <v>89</v>
      </c>
      <c r="C2" s="184" t="s">
        <v>236</v>
      </c>
      <c r="D2" s="184"/>
      <c r="E2" s="184"/>
    </row>
    <row r="3" spans="1:7" s="67" customFormat="1" ht="9.75">
      <c r="A3" s="62" t="s">
        <v>89</v>
      </c>
      <c r="C3" s="64"/>
      <c r="D3" s="96" t="s">
        <v>168</v>
      </c>
      <c r="E3" s="129"/>
      <c r="F3" s="2"/>
      <c r="G3" s="22"/>
    </row>
    <row r="4" spans="1:5" ht="49.5" customHeight="1">
      <c r="A4" s="21" t="s">
        <v>92</v>
      </c>
      <c r="C4" s="99" t="s">
        <v>142</v>
      </c>
      <c r="D4" s="100" t="s">
        <v>350</v>
      </c>
      <c r="E4" s="101" t="s">
        <v>166</v>
      </c>
    </row>
    <row r="5" spans="1:7" ht="71.25" customHeight="1">
      <c r="A5" s="21" t="s">
        <v>89</v>
      </c>
      <c r="C5" s="32" t="s">
        <v>164</v>
      </c>
      <c r="D5" s="136" t="s">
        <v>270</v>
      </c>
      <c r="E5" s="166" t="s">
        <v>773</v>
      </c>
      <c r="F5" s="5">
        <f>COUNTBLANK(E5:E6)</f>
        <v>0</v>
      </c>
      <c r="G5" s="81"/>
    </row>
    <row r="6" spans="3:7" ht="30.75" thickBot="1">
      <c r="C6" s="32" t="s">
        <v>160</v>
      </c>
      <c r="D6" s="136" t="s">
        <v>271</v>
      </c>
      <c r="E6" s="166" t="s">
        <v>88</v>
      </c>
      <c r="G6" s="81"/>
    </row>
    <row r="7" ht="10.5" thickBot="1">
      <c r="E7" s="7" t="str">
        <f>+IF(F5="","",(IF(F5=0,"да","нет")))</f>
        <v>да</v>
      </c>
    </row>
    <row r="8" spans="3:5" ht="10.5" thickBot="1">
      <c r="C8" s="106" t="s">
        <v>90</v>
      </c>
      <c r="D8" s="106"/>
      <c r="E8" s="106"/>
    </row>
    <row r="10" spans="3:5" ht="9.75">
      <c r="C10" s="185"/>
      <c r="D10" s="185"/>
      <c r="E10" s="185"/>
    </row>
    <row r="12" spans="1:6" s="107" customFormat="1" ht="24.75" customHeight="1">
      <c r="A12" s="143"/>
      <c r="C12" s="107" t="s">
        <v>147</v>
      </c>
      <c r="D12" s="186" t="s">
        <v>260</v>
      </c>
      <c r="E12" s="186"/>
      <c r="F12" s="4"/>
    </row>
    <row r="13" spans="1:6" s="107" customFormat="1" ht="15" customHeight="1">
      <c r="A13" s="143"/>
      <c r="C13" s="107" t="s">
        <v>154</v>
      </c>
      <c r="D13" s="186" t="s">
        <v>163</v>
      </c>
      <c r="E13" s="186"/>
      <c r="F13" s="4"/>
    </row>
    <row r="14" spans="3:5" ht="26.25" customHeight="1">
      <c r="C14" s="107" t="s">
        <v>155</v>
      </c>
      <c r="D14" s="186" t="s">
        <v>167</v>
      </c>
      <c r="E14" s="186"/>
    </row>
    <row r="15" spans="3:5" ht="22.5" customHeight="1">
      <c r="C15" s="107" t="s">
        <v>156</v>
      </c>
      <c r="D15" s="186" t="s">
        <v>583</v>
      </c>
      <c r="E15" s="186"/>
    </row>
    <row r="16" ht="18" customHeight="1">
      <c r="C16" s="107"/>
    </row>
    <row r="17" ht="24.75" customHeight="1">
      <c r="C17" s="107"/>
    </row>
    <row r="33" ht="30" customHeight="1"/>
    <row r="34" ht="27.75" customHeight="1"/>
    <row r="35" ht="24" customHeight="1"/>
    <row r="36" ht="23.25" customHeight="1"/>
    <row r="37" ht="18" customHeight="1"/>
    <row r="38" ht="10.5" customHeight="1"/>
  </sheetData>
  <sheetProtection password="CF7A" sheet="1" objects="1" scenarios="1"/>
  <mergeCells count="6">
    <mergeCell ref="C2:E2"/>
    <mergeCell ref="D13:E13"/>
    <mergeCell ref="D14:E14"/>
    <mergeCell ref="D15:E15"/>
    <mergeCell ref="C10:E10"/>
    <mergeCell ref="D12:E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16"/>
  <sheetViews>
    <sheetView zoomScale="75" zoomScaleNormal="75" zoomScalePageLayoutView="0" workbookViewId="0" topLeftCell="B1">
      <selection activeCell="F9" sqref="F9"/>
    </sheetView>
  </sheetViews>
  <sheetFormatPr defaultColWidth="9.28125" defaultRowHeight="15"/>
  <cols>
    <col min="1" max="1" width="4.421875" style="105" hidden="1" customWidth="1"/>
    <col min="2" max="2" width="1.421875" style="108" customWidth="1"/>
    <col min="3" max="3" width="6.421875" style="108" customWidth="1"/>
    <col min="4" max="4" width="85.57421875" style="108" customWidth="1"/>
    <col min="5" max="6" width="28.57421875" style="108" customWidth="1"/>
    <col min="7" max="7" width="1.421875" style="17" customWidth="1"/>
    <col min="8" max="10" width="31.421875" style="108" customWidth="1"/>
    <col min="11" max="16384" width="9.28125" style="108" customWidth="1"/>
  </cols>
  <sheetData>
    <row r="1" spans="1:3" ht="14.25">
      <c r="A1" s="54" t="s">
        <v>89</v>
      </c>
      <c r="B1" s="80"/>
      <c r="C1" s="55"/>
    </row>
    <row r="2" spans="1:6" ht="26.25" customHeight="1" thickBot="1">
      <c r="A2" s="54" t="s">
        <v>89</v>
      </c>
      <c r="B2" s="80"/>
      <c r="C2" s="184" t="s">
        <v>236</v>
      </c>
      <c r="D2" s="184"/>
      <c r="E2" s="184"/>
      <c r="F2" s="184"/>
    </row>
    <row r="3" spans="1:7" s="109" customFormat="1" ht="27">
      <c r="A3" s="93" t="s">
        <v>89</v>
      </c>
      <c r="B3" s="94"/>
      <c r="C3" s="95"/>
      <c r="D3" s="96" t="s">
        <v>149</v>
      </c>
      <c r="E3" s="67"/>
      <c r="F3" s="67"/>
      <c r="G3" s="63"/>
    </row>
    <row r="4" spans="1:6" ht="15">
      <c r="A4" s="98" t="s">
        <v>89</v>
      </c>
      <c r="C4" s="99" t="s">
        <v>142</v>
      </c>
      <c r="D4" s="100" t="s">
        <v>143</v>
      </c>
      <c r="E4" s="101" t="s">
        <v>144</v>
      </c>
      <c r="F4" s="101" t="s">
        <v>145</v>
      </c>
    </row>
    <row r="5" spans="1:7" s="110" customFormat="1" ht="24" customHeight="1">
      <c r="A5" s="102" t="s">
        <v>89</v>
      </c>
      <c r="B5" s="108"/>
      <c r="C5" s="32">
        <v>1</v>
      </c>
      <c r="D5" s="33" t="s">
        <v>227</v>
      </c>
      <c r="E5" s="103" t="s">
        <v>146</v>
      </c>
      <c r="F5" s="8">
        <v>68000</v>
      </c>
      <c r="G5" s="17"/>
    </row>
    <row r="6" spans="1:6" ht="24" customHeight="1">
      <c r="A6" s="102" t="s">
        <v>89</v>
      </c>
      <c r="C6" s="32">
        <v>2</v>
      </c>
      <c r="D6" s="33" t="s">
        <v>228</v>
      </c>
      <c r="E6" s="103" t="s">
        <v>146</v>
      </c>
      <c r="F6" s="8">
        <v>0</v>
      </c>
    </row>
    <row r="7" spans="1:6" ht="21.75">
      <c r="A7" s="102" t="s">
        <v>89</v>
      </c>
      <c r="C7" s="32">
        <v>3</v>
      </c>
      <c r="D7" s="33" t="s">
        <v>274</v>
      </c>
      <c r="E7" s="103" t="s">
        <v>146</v>
      </c>
      <c r="F7" s="8">
        <v>1089979</v>
      </c>
    </row>
    <row r="8" spans="1:6" ht="22.5" thickBot="1">
      <c r="A8" s="102" t="s">
        <v>89</v>
      </c>
      <c r="C8" s="32">
        <v>4</v>
      </c>
      <c r="D8" s="33" t="s">
        <v>229</v>
      </c>
      <c r="E8" s="103" t="s">
        <v>146</v>
      </c>
      <c r="F8" s="8">
        <v>654550</v>
      </c>
    </row>
    <row r="9" spans="1:6" ht="22.5" thickBot="1">
      <c r="A9" s="102" t="s">
        <v>89</v>
      </c>
      <c r="C9" s="83">
        <v>5</v>
      </c>
      <c r="D9" s="84" t="s">
        <v>172</v>
      </c>
      <c r="E9" s="85"/>
      <c r="F9" s="7">
        <f>IF(AND(COUNT(F5:F8)=4,(F7-F8)&lt;&gt;0),(F5-F6)/(F7-F8),"")</f>
        <v>0.1561678252941352</v>
      </c>
    </row>
    <row r="10" spans="3:6" ht="14.25">
      <c r="C10" s="22"/>
      <c r="D10" s="22"/>
      <c r="E10" s="22"/>
      <c r="F10" s="22"/>
    </row>
    <row r="11" spans="3:6" ht="15" thickBot="1">
      <c r="C11" s="106" t="s">
        <v>90</v>
      </c>
      <c r="D11" s="106"/>
      <c r="E11" s="106"/>
      <c r="F11" s="106"/>
    </row>
    <row r="12" spans="3:6" ht="14.25">
      <c r="C12" s="22"/>
      <c r="D12" s="22"/>
      <c r="E12" s="22"/>
      <c r="F12" s="22"/>
    </row>
    <row r="13" spans="3:6" ht="14.25">
      <c r="C13" s="185">
        <f>IF(F9="","Индикатор не может быть посчитан: деление на ноль либо отсутствуют данные для его расчета","")</f>
      </c>
      <c r="D13" s="185"/>
      <c r="E13" s="185"/>
      <c r="F13" s="185"/>
    </row>
    <row r="14" spans="3:6" ht="14.25">
      <c r="C14" s="22"/>
      <c r="D14" s="22"/>
      <c r="E14" s="22"/>
      <c r="F14" s="22"/>
    </row>
    <row r="15" spans="3:6" ht="14.25">
      <c r="C15" s="107" t="s">
        <v>147</v>
      </c>
      <c r="D15" s="186" t="s">
        <v>148</v>
      </c>
      <c r="E15" s="186"/>
      <c r="F15" s="186"/>
    </row>
    <row r="16" spans="3:4" ht="51.75">
      <c r="C16" s="107" t="s">
        <v>154</v>
      </c>
      <c r="D16" s="72" t="s">
        <v>252</v>
      </c>
    </row>
  </sheetData>
  <sheetProtection password="CF7A" sheet="1" objects="1" scenarios="1"/>
  <mergeCells count="3">
    <mergeCell ref="C2:F2"/>
    <mergeCell ref="C13:F13"/>
    <mergeCell ref="D15:F15"/>
  </mergeCells>
  <printOptions/>
  <pageMargins left="0.7" right="0.7" top="0.75" bottom="0.75" header="0.3" footer="0.3"/>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dimension ref="A1:G16"/>
  <sheetViews>
    <sheetView zoomScale="74" zoomScaleNormal="74" zoomScalePageLayoutView="0" workbookViewId="0" topLeftCell="C1">
      <selection activeCell="F6" sqref="F6"/>
    </sheetView>
  </sheetViews>
  <sheetFormatPr defaultColWidth="9.28125" defaultRowHeight="15"/>
  <cols>
    <col min="1" max="1" width="4.421875" style="105" hidden="1" customWidth="1"/>
    <col min="2" max="2" width="1.421875" style="108" customWidth="1"/>
    <col min="3" max="3" width="6.421875" style="108" customWidth="1"/>
    <col min="4" max="4" width="85.57421875" style="108" customWidth="1"/>
    <col min="5" max="6" width="28.57421875" style="108" customWidth="1"/>
    <col min="7" max="7" width="1.421875" style="17" customWidth="1"/>
    <col min="8" max="10" width="31.421875" style="108" customWidth="1"/>
    <col min="11" max="16384" width="9.28125" style="108" customWidth="1"/>
  </cols>
  <sheetData>
    <row r="1" spans="1:6" ht="14.25">
      <c r="A1" s="54" t="s">
        <v>89</v>
      </c>
      <c r="B1" s="80"/>
      <c r="C1" s="55"/>
      <c r="D1" s="22"/>
      <c r="E1" s="22"/>
      <c r="F1" s="22"/>
    </row>
    <row r="2" spans="1:6" ht="26.25" customHeight="1" thickBot="1">
      <c r="A2" s="54" t="s">
        <v>89</v>
      </c>
      <c r="B2" s="80"/>
      <c r="C2" s="184" t="s">
        <v>236</v>
      </c>
      <c r="D2" s="184"/>
      <c r="E2" s="184"/>
      <c r="F2" s="184"/>
    </row>
    <row r="3" spans="1:7" s="109" customFormat="1" ht="27">
      <c r="A3" s="93" t="s">
        <v>89</v>
      </c>
      <c r="B3" s="94"/>
      <c r="C3" s="95"/>
      <c r="D3" s="96" t="s">
        <v>150</v>
      </c>
      <c r="E3" s="67"/>
      <c r="F3" s="67"/>
      <c r="G3" s="63"/>
    </row>
    <row r="4" spans="1:6" ht="15">
      <c r="A4" s="98" t="s">
        <v>89</v>
      </c>
      <c r="B4" s="22"/>
      <c r="C4" s="99" t="s">
        <v>142</v>
      </c>
      <c r="D4" s="100" t="s">
        <v>143</v>
      </c>
      <c r="E4" s="101" t="s">
        <v>144</v>
      </c>
      <c r="F4" s="101" t="s">
        <v>145</v>
      </c>
    </row>
    <row r="5" spans="1:7" s="110" customFormat="1" ht="21.75">
      <c r="A5" s="102" t="s">
        <v>89</v>
      </c>
      <c r="B5" s="22"/>
      <c r="C5" s="32">
        <v>1</v>
      </c>
      <c r="D5" s="33" t="s">
        <v>157</v>
      </c>
      <c r="E5" s="103" t="s">
        <v>146</v>
      </c>
      <c r="F5" s="8">
        <v>0</v>
      </c>
      <c r="G5" s="17"/>
    </row>
    <row r="6" spans="1:6" ht="21.75">
      <c r="A6" s="102" t="s">
        <v>89</v>
      </c>
      <c r="B6" s="22"/>
      <c r="C6" s="32">
        <v>2</v>
      </c>
      <c r="D6" s="33" t="s">
        <v>230</v>
      </c>
      <c r="E6" s="103" t="s">
        <v>146</v>
      </c>
      <c r="F6" s="8">
        <v>1102035.2</v>
      </c>
    </row>
    <row r="7" spans="1:6" ht="26.25" customHeight="1" thickBot="1">
      <c r="A7" s="102" t="s">
        <v>89</v>
      </c>
      <c r="B7" s="22"/>
      <c r="C7" s="32">
        <v>3</v>
      </c>
      <c r="D7" s="33" t="s">
        <v>231</v>
      </c>
      <c r="E7" s="103" t="s">
        <v>146</v>
      </c>
      <c r="F7" s="8">
        <v>653628.4</v>
      </c>
    </row>
    <row r="8" spans="1:6" ht="22.5" thickBot="1">
      <c r="A8" s="102" t="s">
        <v>89</v>
      </c>
      <c r="B8" s="22"/>
      <c r="C8" s="83">
        <v>4</v>
      </c>
      <c r="D8" s="84" t="s">
        <v>234</v>
      </c>
      <c r="E8" s="85"/>
      <c r="F8" s="9">
        <f>IF(AND(COUNT(F5:F7)=3,(F6-F7)&lt;&gt;0),(F5)/(F6-F7),"")</f>
        <v>0</v>
      </c>
    </row>
    <row r="9" spans="2:6" ht="14.25">
      <c r="B9" s="22"/>
      <c r="C9" s="22"/>
      <c r="D9" s="22"/>
      <c r="E9" s="22"/>
      <c r="F9" s="22"/>
    </row>
    <row r="10" spans="2:6" ht="15" thickBot="1">
      <c r="B10" s="22"/>
      <c r="C10" s="106" t="s">
        <v>90</v>
      </c>
      <c r="D10" s="106"/>
      <c r="E10" s="106"/>
      <c r="F10" s="106"/>
    </row>
    <row r="11" spans="2:6" ht="14.25">
      <c r="B11" s="22"/>
      <c r="C11" s="22"/>
      <c r="D11" s="22"/>
      <c r="E11" s="22"/>
      <c r="F11" s="22"/>
    </row>
    <row r="12" spans="2:6" ht="14.25">
      <c r="B12" s="22"/>
      <c r="C12" s="185">
        <f>IF(F8="","Индикатор не может быть посчитан: деление на ноль либо отсутствуют данные для его расчета","")</f>
      </c>
      <c r="D12" s="185"/>
      <c r="E12" s="185"/>
      <c r="F12" s="185"/>
    </row>
    <row r="13" spans="2:6" ht="14.25">
      <c r="B13" s="22"/>
      <c r="C13" s="22"/>
      <c r="D13" s="22"/>
      <c r="E13" s="22"/>
      <c r="F13" s="22"/>
    </row>
    <row r="14" spans="2:6" ht="14.25">
      <c r="B14" s="22"/>
      <c r="C14" s="107" t="s">
        <v>147</v>
      </c>
      <c r="D14" s="186" t="s">
        <v>148</v>
      </c>
      <c r="E14" s="186"/>
      <c r="F14" s="186"/>
    </row>
    <row r="15" spans="2:6" ht="14.25">
      <c r="B15" s="22"/>
      <c r="C15" s="22"/>
      <c r="D15" s="22"/>
      <c r="E15" s="22"/>
      <c r="F15" s="22"/>
    </row>
    <row r="16" ht="14.25">
      <c r="D16" s="108" t="s">
        <v>792</v>
      </c>
    </row>
  </sheetData>
  <sheetProtection password="CF7A" sheet="1" objects="1" scenarios="1"/>
  <mergeCells count="3">
    <mergeCell ref="C2:F2"/>
    <mergeCell ref="C12:F12"/>
    <mergeCell ref="D14:F14"/>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G23"/>
  <sheetViews>
    <sheetView zoomScale="74" zoomScaleNormal="74" zoomScalePageLayoutView="0" workbookViewId="0" topLeftCell="C1">
      <selection activeCell="E23" sqref="E23"/>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89</v>
      </c>
      <c r="B1" s="80"/>
      <c r="C1" s="55"/>
    </row>
    <row r="2" spans="1:6" ht="26.25" customHeight="1" thickBot="1">
      <c r="A2" s="54" t="s">
        <v>89</v>
      </c>
      <c r="B2" s="80"/>
      <c r="C2" s="184" t="s">
        <v>236</v>
      </c>
      <c r="D2" s="184"/>
      <c r="E2" s="184"/>
      <c r="F2" s="184"/>
    </row>
    <row r="3" spans="1:7" s="67" customFormat="1" ht="9.75">
      <c r="A3" s="62" t="s">
        <v>89</v>
      </c>
      <c r="B3" s="94"/>
      <c r="C3" s="95"/>
      <c r="D3" s="96" t="s">
        <v>151</v>
      </c>
      <c r="G3" s="63"/>
    </row>
    <row r="4" spans="1:6" ht="9.75">
      <c r="A4" s="21" t="s">
        <v>89</v>
      </c>
      <c r="C4" s="99" t="s">
        <v>142</v>
      </c>
      <c r="D4" s="100" t="s">
        <v>143</v>
      </c>
      <c r="E4" s="101" t="s">
        <v>144</v>
      </c>
      <c r="F4" s="101" t="s">
        <v>145</v>
      </c>
    </row>
    <row r="5" spans="1:7" s="72" customFormat="1" ht="29.25" customHeight="1">
      <c r="A5" s="21" t="s">
        <v>89</v>
      </c>
      <c r="B5" s="22"/>
      <c r="C5" s="32">
        <v>1</v>
      </c>
      <c r="D5" s="33" t="s">
        <v>232</v>
      </c>
      <c r="E5" s="103" t="s">
        <v>146</v>
      </c>
      <c r="F5" s="8">
        <v>168844.1</v>
      </c>
      <c r="G5" s="17"/>
    </row>
    <row r="6" spans="1:6" ht="9.75">
      <c r="A6" s="21" t="s">
        <v>89</v>
      </c>
      <c r="C6" s="32">
        <v>2</v>
      </c>
      <c r="D6" s="33" t="s">
        <v>230</v>
      </c>
      <c r="E6" s="103" t="s">
        <v>146</v>
      </c>
      <c r="F6" s="8">
        <v>1102035.2</v>
      </c>
    </row>
    <row r="7" spans="1:6" ht="26.25" customHeight="1" thickBot="1">
      <c r="A7" s="21" t="s">
        <v>89</v>
      </c>
      <c r="C7" s="32">
        <v>3</v>
      </c>
      <c r="D7" s="33" t="s">
        <v>231</v>
      </c>
      <c r="E7" s="103" t="s">
        <v>146</v>
      </c>
      <c r="F7" s="8">
        <v>309365.6</v>
      </c>
    </row>
    <row r="8" spans="1:6" ht="21" thickBot="1">
      <c r="A8" s="21" t="s">
        <v>89</v>
      </c>
      <c r="C8" s="83">
        <v>4</v>
      </c>
      <c r="D8" s="84" t="s">
        <v>233</v>
      </c>
      <c r="E8" s="85"/>
      <c r="F8" s="9">
        <f>IF(AND(COUNT(F5:F7)=3,(F6-F7)&lt;&gt;0),(F5)/(F6-F7),"")</f>
        <v>0.21300690729151214</v>
      </c>
    </row>
    <row r="10" spans="3:6" ht="10.5" thickBot="1">
      <c r="C10" s="106" t="s">
        <v>90</v>
      </c>
      <c r="D10" s="106"/>
      <c r="E10" s="106"/>
      <c r="F10" s="106"/>
    </row>
    <row r="12" spans="3:6" ht="9.75">
      <c r="C12" s="185">
        <f>IF(F8="","Индикатор не может быть посчитан: деление на ноль либо отсутствуют данные для его расчета","")</f>
      </c>
      <c r="D12" s="185"/>
      <c r="E12" s="185"/>
      <c r="F12" s="185"/>
    </row>
    <row r="14" spans="3:6" ht="9.75">
      <c r="C14" s="107" t="s">
        <v>147</v>
      </c>
      <c r="D14" s="186" t="s">
        <v>148</v>
      </c>
      <c r="E14" s="186"/>
      <c r="F14" s="186"/>
    </row>
    <row r="17" ht="9.75">
      <c r="D17" s="17" t="s">
        <v>794</v>
      </c>
    </row>
    <row r="23" ht="9.75">
      <c r="E23" s="168"/>
    </row>
  </sheetData>
  <sheetProtection password="CF7A" sheet="1" objects="1" scenarios="1"/>
  <mergeCells count="3">
    <mergeCell ref="C2:F2"/>
    <mergeCell ref="C12:F12"/>
    <mergeCell ref="D14:F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5"/>
  <sheetViews>
    <sheetView zoomScale="71" zoomScaleNormal="71" zoomScalePageLayoutView="0" workbookViewId="0" topLeftCell="B1">
      <selection activeCell="D23" sqref="D23"/>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89</v>
      </c>
      <c r="B1" s="80"/>
      <c r="C1" s="55"/>
    </row>
    <row r="2" spans="1:6" ht="26.25" customHeight="1" thickBot="1">
      <c r="A2" s="54" t="s">
        <v>89</v>
      </c>
      <c r="B2" s="80"/>
      <c r="C2" s="184" t="s">
        <v>236</v>
      </c>
      <c r="D2" s="184"/>
      <c r="E2" s="184"/>
      <c r="F2" s="184"/>
    </row>
    <row r="3" spans="1:7" s="67" customFormat="1" ht="9.75">
      <c r="A3" s="62" t="s">
        <v>89</v>
      </c>
      <c r="B3" s="94"/>
      <c r="C3" s="95"/>
      <c r="D3" s="96" t="s">
        <v>152</v>
      </c>
      <c r="G3" s="63"/>
    </row>
    <row r="4" spans="1:6" ht="9.75">
      <c r="A4" s="21" t="s">
        <v>89</v>
      </c>
      <c r="C4" s="99" t="s">
        <v>142</v>
      </c>
      <c r="D4" s="100" t="s">
        <v>143</v>
      </c>
      <c r="E4" s="101" t="s">
        <v>144</v>
      </c>
      <c r="F4" s="101" t="s">
        <v>145</v>
      </c>
    </row>
    <row r="5" spans="1:7" s="72" customFormat="1" ht="9.75">
      <c r="A5" s="21" t="s">
        <v>89</v>
      </c>
      <c r="B5" s="22"/>
      <c r="C5" s="32">
        <v>1</v>
      </c>
      <c r="D5" s="33" t="s">
        <v>237</v>
      </c>
      <c r="E5" s="103" t="s">
        <v>146</v>
      </c>
      <c r="F5" s="8">
        <v>1089979</v>
      </c>
      <c r="G5" s="17"/>
    </row>
    <row r="6" spans="1:6" ht="9.75">
      <c r="A6" s="21" t="s">
        <v>89</v>
      </c>
      <c r="C6" s="32">
        <v>2</v>
      </c>
      <c r="D6" s="33" t="s">
        <v>238</v>
      </c>
      <c r="E6" s="103" t="s">
        <v>146</v>
      </c>
      <c r="F6" s="8">
        <v>654550</v>
      </c>
    </row>
    <row r="7" spans="1:6" ht="24.75" customHeight="1">
      <c r="A7" s="21" t="s">
        <v>89</v>
      </c>
      <c r="C7" s="32">
        <v>3</v>
      </c>
      <c r="D7" s="33" t="s">
        <v>239</v>
      </c>
      <c r="E7" s="103" t="s">
        <v>146</v>
      </c>
      <c r="F7" s="8">
        <v>829307.3</v>
      </c>
    </row>
    <row r="8" spans="1:6" ht="37.5" customHeight="1" thickBot="1">
      <c r="A8" s="21" t="s">
        <v>89</v>
      </c>
      <c r="C8" s="32">
        <v>4</v>
      </c>
      <c r="D8" s="33" t="s">
        <v>240</v>
      </c>
      <c r="E8" s="103" t="s">
        <v>146</v>
      </c>
      <c r="F8" s="8">
        <v>448617.3</v>
      </c>
    </row>
    <row r="9" spans="1:6" ht="21" thickBot="1">
      <c r="A9" s="21" t="s">
        <v>89</v>
      </c>
      <c r="C9" s="83">
        <v>5</v>
      </c>
      <c r="D9" s="84" t="s">
        <v>173</v>
      </c>
      <c r="E9" s="85"/>
      <c r="F9" s="7">
        <f>IF(AND(COUNT(F5:F8)=4,(F7-F8)&lt;&gt;0),ABS((F5-F6)/(F7-F8)-1),"")</f>
        <v>0.14378890961149482</v>
      </c>
    </row>
    <row r="11" spans="3:6" ht="10.5" thickBot="1">
      <c r="C11" s="106" t="s">
        <v>90</v>
      </c>
      <c r="D11" s="106"/>
      <c r="E11" s="106"/>
      <c r="F11" s="106"/>
    </row>
    <row r="13" spans="3:6" ht="9.75">
      <c r="C13" s="185">
        <f>IF(F9="","Индикатор не может быть посчитан: деление на ноль либо отсутствуют данные для его расчета","")</f>
      </c>
      <c r="D13" s="185"/>
      <c r="E13" s="185"/>
      <c r="F13" s="185"/>
    </row>
    <row r="15" spans="3:6" ht="9.75">
      <c r="C15" s="107" t="s">
        <v>147</v>
      </c>
      <c r="D15" s="186" t="s">
        <v>148</v>
      </c>
      <c r="E15" s="186"/>
      <c r="F15" s="186"/>
    </row>
  </sheetData>
  <sheetProtection password="CF7A" sheet="1" objects="1" scenarios="1"/>
  <mergeCells count="3">
    <mergeCell ref="C2:F2"/>
    <mergeCell ref="C13:F13"/>
    <mergeCell ref="D15:F15"/>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G20"/>
  <sheetViews>
    <sheetView zoomScale="67" zoomScaleNormal="67" zoomScalePageLayoutView="0" workbookViewId="0" topLeftCell="B1">
      <selection activeCell="D8" sqref="D8"/>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89</v>
      </c>
      <c r="B1" s="80"/>
      <c r="C1" s="55"/>
    </row>
    <row r="2" spans="1:6" ht="26.25" customHeight="1" thickBot="1">
      <c r="A2" s="54" t="s">
        <v>89</v>
      </c>
      <c r="B2" s="80"/>
      <c r="C2" s="184" t="s">
        <v>236</v>
      </c>
      <c r="D2" s="184"/>
      <c r="E2" s="184"/>
      <c r="F2" s="184"/>
    </row>
    <row r="3" spans="1:7" s="67" customFormat="1" ht="9.75">
      <c r="A3" s="62" t="s">
        <v>89</v>
      </c>
      <c r="B3" s="94"/>
      <c r="C3" s="95"/>
      <c r="D3" s="96" t="s">
        <v>241</v>
      </c>
      <c r="G3" s="63"/>
    </row>
    <row r="4" spans="1:6" ht="9.75">
      <c r="A4" s="21" t="s">
        <v>89</v>
      </c>
      <c r="C4" s="99" t="s">
        <v>142</v>
      </c>
      <c r="D4" s="100" t="s">
        <v>143</v>
      </c>
      <c r="E4" s="101" t="s">
        <v>144</v>
      </c>
      <c r="F4" s="101" t="s">
        <v>145</v>
      </c>
    </row>
    <row r="5" spans="1:7" s="72" customFormat="1" ht="9.75">
      <c r="A5" s="21" t="s">
        <v>89</v>
      </c>
      <c r="B5" s="22"/>
      <c r="C5" s="32">
        <v>1</v>
      </c>
      <c r="D5" s="33" t="s">
        <v>242</v>
      </c>
      <c r="E5" s="103" t="s">
        <v>146</v>
      </c>
      <c r="F5" s="8">
        <v>1089979</v>
      </c>
      <c r="G5" s="17"/>
    </row>
    <row r="6" spans="1:6" ht="9.75">
      <c r="A6" s="21" t="s">
        <v>89</v>
      </c>
      <c r="C6" s="32">
        <v>2</v>
      </c>
      <c r="D6" s="33" t="s">
        <v>243</v>
      </c>
      <c r="E6" s="103" t="s">
        <v>146</v>
      </c>
      <c r="F6" s="8">
        <v>654550</v>
      </c>
    </row>
    <row r="7" spans="1:6" ht="24.75" customHeight="1">
      <c r="A7" s="21" t="s">
        <v>89</v>
      </c>
      <c r="C7" s="32">
        <v>3</v>
      </c>
      <c r="D7" s="33" t="s">
        <v>244</v>
      </c>
      <c r="E7" s="103" t="s">
        <v>146</v>
      </c>
      <c r="F7" s="8">
        <v>941691</v>
      </c>
    </row>
    <row r="8" spans="1:6" ht="37.5" customHeight="1" thickBot="1">
      <c r="A8" s="21" t="s">
        <v>89</v>
      </c>
      <c r="C8" s="32">
        <v>4</v>
      </c>
      <c r="D8" s="33" t="s">
        <v>245</v>
      </c>
      <c r="E8" s="103" t="s">
        <v>146</v>
      </c>
      <c r="F8" s="8">
        <v>515213.5</v>
      </c>
    </row>
    <row r="9" spans="1:6" ht="21" thickBot="1">
      <c r="A9" s="21" t="s">
        <v>89</v>
      </c>
      <c r="C9" s="83">
        <v>5</v>
      </c>
      <c r="D9" s="84" t="s">
        <v>275</v>
      </c>
      <c r="E9" s="85"/>
      <c r="F9" s="7">
        <f>IF(AND(COUNT(F5:F8)=4,(F7-F8)&lt;&gt;0),(((F5-F6)/(F7-F8))-1),"")</f>
        <v>0.020989383965156483</v>
      </c>
    </row>
    <row r="11" spans="3:6" ht="10.5" thickBot="1">
      <c r="C11" s="106" t="s">
        <v>90</v>
      </c>
      <c r="D11" s="106"/>
      <c r="E11" s="106"/>
      <c r="F11" s="106"/>
    </row>
    <row r="13" spans="3:6" ht="9.75">
      <c r="C13" s="185">
        <f>IF(F9="","Индикатор не может быть посчитан: деление на ноль либо отсутствуют данные для его расчета","")</f>
      </c>
      <c r="D13" s="185"/>
      <c r="E13" s="185"/>
      <c r="F13" s="185"/>
    </row>
    <row r="15" spans="3:6" ht="9.75">
      <c r="C15" s="107" t="s">
        <v>147</v>
      </c>
      <c r="D15" s="186" t="s">
        <v>148</v>
      </c>
      <c r="E15" s="186"/>
      <c r="F15" s="186"/>
    </row>
    <row r="17" ht="9.75">
      <c r="F17" s="13"/>
    </row>
    <row r="18" ht="9.75">
      <c r="F18" s="13"/>
    </row>
    <row r="19" ht="9.75">
      <c r="F19" s="13"/>
    </row>
    <row r="20" ht="9.75">
      <c r="F20" s="13"/>
    </row>
  </sheetData>
  <sheetProtection password="CF7A" sheet="1" objects="1" scenarios="1"/>
  <mergeCells count="3">
    <mergeCell ref="C2:F2"/>
    <mergeCell ref="C13:F13"/>
    <mergeCell ref="D15:F15"/>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H17"/>
  <sheetViews>
    <sheetView tabSelected="1" zoomScalePageLayoutView="0" workbookViewId="0" topLeftCell="B1">
      <selection activeCell="H12" sqref="H12"/>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89</v>
      </c>
      <c r="B1" s="80"/>
      <c r="C1" s="55"/>
    </row>
    <row r="2" spans="1:6" ht="26.25" customHeight="1" thickBot="1">
      <c r="A2" s="54" t="s">
        <v>89</v>
      </c>
      <c r="B2" s="80"/>
      <c r="C2" s="184" t="s">
        <v>236</v>
      </c>
      <c r="D2" s="184"/>
      <c r="E2" s="184"/>
      <c r="F2" s="184"/>
    </row>
    <row r="3" spans="1:7" s="67" customFormat="1" ht="9.75">
      <c r="A3" s="62" t="s">
        <v>89</v>
      </c>
      <c r="B3" s="94"/>
      <c r="C3" s="95"/>
      <c r="D3" s="96" t="s">
        <v>153</v>
      </c>
      <c r="G3" s="63"/>
    </row>
    <row r="4" spans="1:6" ht="9.75">
      <c r="A4" s="21" t="s">
        <v>89</v>
      </c>
      <c r="C4" s="99" t="s">
        <v>142</v>
      </c>
      <c r="D4" s="100" t="s">
        <v>143</v>
      </c>
      <c r="E4" s="101" t="s">
        <v>144</v>
      </c>
      <c r="F4" s="101" t="s">
        <v>145</v>
      </c>
    </row>
    <row r="5" spans="1:7" s="72" customFormat="1" ht="25.5" customHeight="1">
      <c r="A5" s="21" t="s">
        <v>89</v>
      </c>
      <c r="B5" s="22"/>
      <c r="C5" s="32">
        <v>1</v>
      </c>
      <c r="D5" s="33" t="s">
        <v>246</v>
      </c>
      <c r="E5" s="103" t="s">
        <v>146</v>
      </c>
      <c r="F5" s="8">
        <v>25041</v>
      </c>
      <c r="G5" s="17"/>
    </row>
    <row r="6" spans="1:6" ht="9.75">
      <c r="A6" s="21" t="s">
        <v>89</v>
      </c>
      <c r="C6" s="32">
        <v>2</v>
      </c>
      <c r="D6" s="33" t="s">
        <v>247</v>
      </c>
      <c r="E6" s="103" t="s">
        <v>146</v>
      </c>
      <c r="F6" s="8">
        <v>1001630</v>
      </c>
    </row>
    <row r="7" spans="1:6" ht="24.75" customHeight="1">
      <c r="A7" s="21" t="s">
        <v>89</v>
      </c>
      <c r="C7" s="32">
        <v>3</v>
      </c>
      <c r="D7" s="33" t="s">
        <v>248</v>
      </c>
      <c r="E7" s="103" t="s">
        <v>146</v>
      </c>
      <c r="F7" s="8">
        <v>55996.134</v>
      </c>
    </row>
    <row r="8" spans="1:6" ht="23.25" customHeight="1" thickBot="1">
      <c r="A8" s="21" t="s">
        <v>89</v>
      </c>
      <c r="C8" s="32">
        <v>4</v>
      </c>
      <c r="D8" s="33" t="s">
        <v>249</v>
      </c>
      <c r="E8" s="103" t="s">
        <v>146</v>
      </c>
      <c r="F8" s="8">
        <v>1119922.676</v>
      </c>
    </row>
    <row r="9" spans="1:6" ht="27.75" customHeight="1" thickBot="1">
      <c r="A9" s="21" t="s">
        <v>89</v>
      </c>
      <c r="C9" s="83">
        <v>5</v>
      </c>
      <c r="D9" s="84" t="s">
        <v>174</v>
      </c>
      <c r="E9" s="85"/>
      <c r="F9" s="7">
        <f>IF(AND(COUNT(F5:F8)=4),((F5/F6)+(F7/F8)),"")</f>
        <v>0.07500024977174691</v>
      </c>
    </row>
    <row r="11" spans="3:6" ht="10.5" thickBot="1">
      <c r="C11" s="106" t="s">
        <v>90</v>
      </c>
      <c r="D11" s="106"/>
      <c r="E11" s="106"/>
      <c r="F11" s="106"/>
    </row>
    <row r="13" spans="3:6" ht="9.75">
      <c r="C13" s="185">
        <f>IF(F9="","Индикатор не может быть посчитан: деление на ноль либо отсутствуют данные для его расчета","")</f>
      </c>
      <c r="D13" s="185"/>
      <c r="E13" s="185"/>
      <c r="F13" s="185"/>
    </row>
    <row r="15" spans="3:8" ht="21" customHeight="1">
      <c r="C15" s="107" t="s">
        <v>147</v>
      </c>
      <c r="D15" s="186" t="s">
        <v>148</v>
      </c>
      <c r="E15" s="186"/>
      <c r="F15" s="186"/>
      <c r="G15" s="111"/>
      <c r="H15" s="111"/>
    </row>
    <row r="16" spans="3:6" ht="18" customHeight="1">
      <c r="C16" s="107" t="s">
        <v>154</v>
      </c>
      <c r="D16" s="186" t="s">
        <v>359</v>
      </c>
      <c r="E16" s="186"/>
      <c r="F16" s="186"/>
    </row>
    <row r="17" spans="3:4" ht="63.75" customHeight="1">
      <c r="C17" s="107" t="s">
        <v>155</v>
      </c>
      <c r="D17" s="72" t="s">
        <v>253</v>
      </c>
    </row>
  </sheetData>
  <sheetProtection password="CF7A" sheet="1" objects="1" scenarios="1"/>
  <mergeCells count="4">
    <mergeCell ref="C2:F2"/>
    <mergeCell ref="C13:F13"/>
    <mergeCell ref="D15:F15"/>
    <mergeCell ref="D16:F1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G17"/>
  <sheetViews>
    <sheetView zoomScale="75" zoomScaleNormal="75" zoomScalePageLayoutView="0" workbookViewId="0" topLeftCell="D1">
      <selection activeCell="F9" sqref="F9"/>
    </sheetView>
  </sheetViews>
  <sheetFormatPr defaultColWidth="9.28125" defaultRowHeight="15"/>
  <cols>
    <col min="1" max="1" width="4.421875" style="105" hidden="1" customWidth="1"/>
    <col min="2" max="2" width="1.421875" style="22" customWidth="1"/>
    <col min="3" max="3" width="6.421875" style="22" customWidth="1"/>
    <col min="4" max="4" width="85.57421875" style="22" customWidth="1"/>
    <col min="5" max="6" width="28.57421875" style="22" customWidth="1"/>
    <col min="7" max="7" width="1.421875" style="17" customWidth="1"/>
    <col min="8" max="10" width="31.421875" style="22" customWidth="1"/>
    <col min="11" max="16384" width="9.28125" style="22" customWidth="1"/>
  </cols>
  <sheetData>
    <row r="1" spans="1:3" ht="9.75">
      <c r="A1" s="54" t="s">
        <v>89</v>
      </c>
      <c r="B1" s="80"/>
      <c r="C1" s="55"/>
    </row>
    <row r="2" spans="1:6" ht="26.25" customHeight="1" thickBot="1">
      <c r="A2" s="54" t="s">
        <v>89</v>
      </c>
      <c r="B2" s="80"/>
      <c r="C2" s="184" t="s">
        <v>236</v>
      </c>
      <c r="D2" s="184"/>
      <c r="E2" s="184"/>
      <c r="F2" s="184"/>
    </row>
    <row r="3" spans="1:7" s="67" customFormat="1" ht="9.75">
      <c r="A3" s="62" t="s">
        <v>89</v>
      </c>
      <c r="B3" s="94"/>
      <c r="C3" s="95"/>
      <c r="D3" s="96" t="s">
        <v>158</v>
      </c>
      <c r="G3" s="63"/>
    </row>
    <row r="4" spans="1:6" ht="9.75">
      <c r="A4" s="21" t="s">
        <v>89</v>
      </c>
      <c r="C4" s="99" t="s">
        <v>142</v>
      </c>
      <c r="D4" s="100" t="s">
        <v>143</v>
      </c>
      <c r="E4" s="101" t="s">
        <v>144</v>
      </c>
      <c r="F4" s="101" t="s">
        <v>145</v>
      </c>
    </row>
    <row r="5" spans="1:7" s="72" customFormat="1" ht="9.75">
      <c r="A5" s="21" t="s">
        <v>89</v>
      </c>
      <c r="B5" s="22"/>
      <c r="C5" s="32">
        <v>1</v>
      </c>
      <c r="D5" s="33" t="s">
        <v>385</v>
      </c>
      <c r="E5" s="103" t="s">
        <v>146</v>
      </c>
      <c r="F5" s="8">
        <v>1001629.73</v>
      </c>
      <c r="G5" s="17"/>
    </row>
    <row r="6" spans="1:7" s="72" customFormat="1" ht="20.25">
      <c r="A6" s="21"/>
      <c r="B6" s="22"/>
      <c r="C6" s="32">
        <v>2</v>
      </c>
      <c r="D6" s="33" t="s">
        <v>476</v>
      </c>
      <c r="E6" s="103" t="s">
        <v>146</v>
      </c>
      <c r="F6" s="8">
        <v>530377.23</v>
      </c>
      <c r="G6" s="17"/>
    </row>
    <row r="7" spans="1:7" s="72" customFormat="1" ht="9.75">
      <c r="A7" s="21"/>
      <c r="B7" s="22"/>
      <c r="C7" s="32">
        <v>3</v>
      </c>
      <c r="D7" s="33" t="s">
        <v>452</v>
      </c>
      <c r="E7" s="103" t="s">
        <v>146</v>
      </c>
      <c r="F7" s="8">
        <v>988433.235</v>
      </c>
      <c r="G7" s="17"/>
    </row>
    <row r="8" spans="1:6" ht="21" thickBot="1">
      <c r="A8" s="21" t="s">
        <v>89</v>
      </c>
      <c r="C8" s="32">
        <v>4</v>
      </c>
      <c r="D8" s="33" t="s">
        <v>477</v>
      </c>
      <c r="E8" s="103" t="s">
        <v>146</v>
      </c>
      <c r="F8" s="8">
        <v>514669.835</v>
      </c>
    </row>
    <row r="9" spans="1:6" ht="21" thickBot="1">
      <c r="A9" s="21" t="s">
        <v>89</v>
      </c>
      <c r="C9" s="83">
        <v>5</v>
      </c>
      <c r="D9" s="84" t="s">
        <v>453</v>
      </c>
      <c r="E9" s="85"/>
      <c r="F9" s="7">
        <f>IF(AND(COUNT(F5:F8)=4,(F7-F8)&lt;&gt;0),ABS(((F5-F6)/(F7-F8))-1),"")</f>
        <v>0.005299902862905714</v>
      </c>
    </row>
    <row r="11" spans="3:6" ht="10.5" thickBot="1">
      <c r="C11" s="106" t="s">
        <v>90</v>
      </c>
      <c r="D11" s="106"/>
      <c r="E11" s="106"/>
      <c r="F11" s="106"/>
    </row>
    <row r="13" spans="3:6" ht="9.75">
      <c r="C13" s="185">
        <f>IF(F9="","Индикатор не может быть посчитан: деление на ноль либо отсутствуют данные для его расчета","")</f>
      </c>
      <c r="D13" s="185"/>
      <c r="E13" s="185"/>
      <c r="F13" s="185"/>
    </row>
    <row r="15" spans="3:6" ht="9.75">
      <c r="C15" s="107" t="s">
        <v>147</v>
      </c>
      <c r="D15" s="186" t="s">
        <v>148</v>
      </c>
      <c r="E15" s="186"/>
      <c r="F15" s="186"/>
    </row>
    <row r="16" ht="63" customHeight="1">
      <c r="D16" s="72"/>
    </row>
    <row r="17" ht="62.25" customHeight="1">
      <c r="D17" s="72"/>
    </row>
  </sheetData>
  <sheetProtection password="CF7A" sheet="1" objects="1" scenarios="1"/>
  <mergeCells count="3">
    <mergeCell ref="C2:F2"/>
    <mergeCell ref="C13:F13"/>
    <mergeCell ref="D15:F15"/>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БФТ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komp</cp:lastModifiedBy>
  <cp:lastPrinted>2014-03-18T06:37:51Z</cp:lastPrinted>
  <dcterms:created xsi:type="dcterms:W3CDTF">2012-01-16T10:01:32Z</dcterms:created>
  <dcterms:modified xsi:type="dcterms:W3CDTF">2014-03-18T06:42:10Z</dcterms:modified>
  <cp:category/>
  <cp:version/>
  <cp:contentType/>
  <cp:contentStatus/>
</cp:coreProperties>
</file>